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tabRatio="599" activeTab="12"/>
  </bookViews>
  <sheets>
    <sheet name="Datos" sheetId="1" r:id="rId1"/>
    <sheet name="Invest" sheetId="2" r:id="rId2"/>
    <sheet name="Terr" sheetId="3" r:id="rId3"/>
    <sheet name="Infra" sheetId="4" r:id="rId4"/>
    <sheet name="Insta" sheetId="5" r:id="rId5"/>
    <sheet name="Maqui" sheetId="6" r:id="rId6"/>
    <sheet name="Mob" sheetId="7" r:id="rId7"/>
    <sheet name="M.O." sheetId="8" r:id="rId8"/>
    <sheet name="Sumi" sheetId="9" r:id="rId9"/>
    <sheet name="Mto" sheetId="10" r:id="rId10"/>
    <sheet name="Indir" sheetId="11" r:id="rId11"/>
    <sheet name="PPTO" sheetId="12" r:id="rId12"/>
    <sheet name="RES" sheetId="13" r:id="rId13"/>
  </sheets>
  <definedNames>
    <definedName name="_xlnm.Print_Area" localSheetId="0">'Datos'!$A$1:$G$134</definedName>
    <definedName name="_xlnm.Print_Area" localSheetId="10">'Indir'!$A$1:$G$82</definedName>
    <definedName name="_xlnm.Print_Area" localSheetId="3">'Infra'!$A$1:$G$78</definedName>
    <definedName name="_xlnm.Print_Area" localSheetId="4">'Insta'!$A$1:$G$75</definedName>
    <definedName name="_xlnm.Print_Area" localSheetId="7">'M.O.'!$A$1:$G$34</definedName>
    <definedName name="_xlnm.Print_Area" localSheetId="5">'Maqui'!$A$1:$H$91</definedName>
    <definedName name="_xlnm.Print_Area" localSheetId="6">'Mob'!$A$1:$F$29</definedName>
    <definedName name="_xlnm.Print_Area" localSheetId="9">'Mto'!$A$1:$I$107</definedName>
    <definedName name="_xlnm.Print_Area" localSheetId="11">'PPTO'!$A$1:$F$92</definedName>
    <definedName name="_xlnm.Print_Area" localSheetId="12">'RES'!$A$1:$F$56</definedName>
    <definedName name="_xlnm.Print_Area" localSheetId="8">'Sumi'!$A$1:$F$338</definedName>
  </definedNames>
  <calcPr fullCalcOnLoad="1"/>
</workbook>
</file>

<file path=xl/comments1.xml><?xml version="1.0" encoding="utf-8"?>
<comments xmlns="http://schemas.openxmlformats.org/spreadsheetml/2006/main">
  <authors>
    <author>Emilio Trigueros Tornero</author>
  </authors>
  <commentList>
    <comment ref="E21" authorId="0">
      <text>
        <r>
          <rPr>
            <sz val="8"/>
            <rFont val="Tahoma"/>
            <family val="0"/>
          </rPr>
          <t xml:space="preserve">  </t>
        </r>
        <r>
          <rPr>
            <b/>
            <sz val="8"/>
            <rFont val="Tahoma"/>
            <family val="2"/>
          </rPr>
          <t>1 -</t>
        </r>
        <r>
          <rPr>
            <sz val="8"/>
            <rFont val="Tahoma"/>
            <family val="0"/>
          </rPr>
          <t xml:space="preserve">  </t>
        </r>
        <r>
          <rPr>
            <u val="single"/>
            <sz val="8"/>
            <rFont val="Tahoma"/>
            <family val="2"/>
          </rPr>
          <t>1er orden</t>
        </r>
        <r>
          <rPr>
            <sz val="8"/>
            <rFont val="Tahoma"/>
            <family val="0"/>
          </rPr>
          <t xml:space="preserve">: Autovia
  </t>
        </r>
        <r>
          <rPr>
            <b/>
            <sz val="8"/>
            <rFont val="Tahoma"/>
            <family val="2"/>
          </rPr>
          <t xml:space="preserve">2 - </t>
        </r>
        <r>
          <rPr>
            <u val="single"/>
            <sz val="8"/>
            <rFont val="Tahoma"/>
            <family val="2"/>
          </rPr>
          <t xml:space="preserve"> 2º orden</t>
        </r>
        <r>
          <rPr>
            <sz val="8"/>
            <rFont val="Tahoma"/>
            <family val="0"/>
          </rPr>
          <t xml:space="preserve">: Nacional
</t>
        </r>
        <r>
          <rPr>
            <b/>
            <sz val="8"/>
            <rFont val="Tahoma"/>
            <family val="2"/>
          </rPr>
          <t xml:space="preserve">  3 -</t>
        </r>
        <r>
          <rPr>
            <sz val="8"/>
            <rFont val="Tahoma"/>
            <family val="0"/>
          </rPr>
          <t xml:space="preserve"> </t>
        </r>
        <r>
          <rPr>
            <u val="single"/>
            <sz val="8"/>
            <rFont val="Tahoma"/>
            <family val="2"/>
          </rPr>
          <t xml:space="preserve"> 3er orden</t>
        </r>
        <r>
          <rPr>
            <sz val="8"/>
            <rFont val="Tahoma"/>
            <family val="0"/>
          </rPr>
          <t xml:space="preserve">:Comarcal
  </t>
        </r>
        <r>
          <rPr>
            <b/>
            <sz val="8"/>
            <rFont val="Tahoma"/>
            <family val="2"/>
          </rPr>
          <t>4 -</t>
        </r>
        <r>
          <rPr>
            <sz val="8"/>
            <rFont val="Tahoma"/>
            <family val="0"/>
          </rPr>
          <t xml:space="preserve">  </t>
        </r>
        <r>
          <rPr>
            <u val="single"/>
            <sz val="8"/>
            <rFont val="Tahoma"/>
            <family val="2"/>
          </rPr>
          <t>4º orden</t>
        </r>
        <r>
          <rPr>
            <sz val="8"/>
            <rFont val="Tahoma"/>
            <family val="0"/>
          </rPr>
          <t>: Camino</t>
        </r>
      </text>
    </comment>
  </commentList>
</comments>
</file>

<file path=xl/comments13.xml><?xml version="1.0" encoding="utf-8"?>
<comments xmlns="http://schemas.openxmlformats.org/spreadsheetml/2006/main">
  <authors>
    <author>Emilio Trigueros Tornero</author>
  </authors>
  <commentList>
    <comment ref="E53" authorId="0">
      <text>
        <r>
          <rPr>
            <b/>
            <sz val="8"/>
            <rFont val="Tahoma"/>
            <family val="0"/>
          </rPr>
          <t>&gt;80       Extremo
80-60    Muy elevado
60-40    Elevado
40-20    Moderado
&lt;20       Leve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<sst xmlns="http://schemas.openxmlformats.org/spreadsheetml/2006/main" count="902" uniqueCount="588">
  <si>
    <t>INVESTIGACION Y ESTUDIOS DE INGENIERIA</t>
  </si>
  <si>
    <t>ADQUISICIÓN DE TERRENOS</t>
  </si>
  <si>
    <t>% de aprovechamiento</t>
  </si>
  <si>
    <t>Años de explotación</t>
  </si>
  <si>
    <t>Produccion anual deseada (m3)</t>
  </si>
  <si>
    <t>Precio sondeo por metro</t>
  </si>
  <si>
    <t>Profundidad de sondeos</t>
  </si>
  <si>
    <t>Nº Total de Sondeos</t>
  </si>
  <si>
    <t>Metros de sondeo</t>
  </si>
  <si>
    <t>Coste total de la compra del terreno</t>
  </si>
  <si>
    <t>OBRAS E INFRAESTRUCTURAS</t>
  </si>
  <si>
    <t>INSTALACIONES Y SERVICIOS MINEROS</t>
  </si>
  <si>
    <t>Perforadora y torreta</t>
  </si>
  <si>
    <t>Hilo</t>
  </si>
  <si>
    <t>Serrucho</t>
  </si>
  <si>
    <t>Palista</t>
  </si>
  <si>
    <t>Encargado</t>
  </si>
  <si>
    <t>MANO DE OBRA</t>
  </si>
  <si>
    <t>SUMINISTROS</t>
  </si>
  <si>
    <t>COMPRESORES</t>
  </si>
  <si>
    <t>Coste total sondeos</t>
  </si>
  <si>
    <t>INFORME GEOLÓGICO</t>
  </si>
  <si>
    <t>PROYECTO O PLAN DE LABORES</t>
  </si>
  <si>
    <t>coste/ha</t>
  </si>
  <si>
    <t>sup (ha)</t>
  </si>
  <si>
    <t>Superficie de explotación (ha)</t>
  </si>
  <si>
    <t>Sup. para servicios (ha)</t>
  </si>
  <si>
    <t>H * V escombrera</t>
  </si>
  <si>
    <t>Sup. para escombreras (ha)</t>
  </si>
  <si>
    <t>Valor del terreno por ha</t>
  </si>
  <si>
    <r>
      <t>tg(</t>
    </r>
    <r>
      <rPr>
        <b/>
        <sz val="10"/>
        <rFont val="Symbol"/>
        <family val="1"/>
      </rPr>
      <t>a)*1/2*H</t>
    </r>
    <r>
      <rPr>
        <b/>
        <vertAlign val="superscript"/>
        <sz val="10"/>
        <rFont val="Symbol"/>
        <family val="1"/>
      </rPr>
      <t>2</t>
    </r>
    <r>
      <rPr>
        <b/>
        <sz val="10"/>
        <rFont val="Symbol"/>
        <family val="1"/>
      </rPr>
      <t>*[1/</t>
    </r>
    <r>
      <rPr>
        <b/>
        <sz val="10"/>
        <rFont val="Arial"/>
        <family val="2"/>
      </rPr>
      <t>tg(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)-1/tg(</t>
    </r>
    <r>
      <rPr>
        <b/>
        <sz val="10"/>
        <rFont val="Symbol"/>
        <family val="1"/>
      </rPr>
      <t>b)]</t>
    </r>
  </si>
  <si>
    <t>SONDEOS</t>
  </si>
  <si>
    <t>Costes informes</t>
  </si>
  <si>
    <t>MAQUINARIA MÓVIL</t>
  </si>
  <si>
    <t>TIPO</t>
  </si>
  <si>
    <t>Vida media</t>
  </si>
  <si>
    <t xml:space="preserve">COSTE </t>
  </si>
  <si>
    <t>Coste TOTAL</t>
  </si>
  <si>
    <t>ROZADORAS</t>
  </si>
  <si>
    <t>VOLQUETES</t>
  </si>
  <si>
    <t>CUBA O CAMIÓN CUBA</t>
  </si>
  <si>
    <t>AUTOMÓVILES</t>
  </si>
  <si>
    <t>ENTRADA DE DATOS</t>
  </si>
  <si>
    <t>HILOS DE CORTE</t>
  </si>
  <si>
    <t>Coste por m2</t>
  </si>
  <si>
    <t>Coste hilo por m</t>
  </si>
  <si>
    <t>Coste reparacion hilo por m</t>
  </si>
  <si>
    <t>Gasoil:</t>
  </si>
  <si>
    <t>Volquetes</t>
  </si>
  <si>
    <t>Palas cargadoras</t>
  </si>
  <si>
    <t>Perforadoras</t>
  </si>
  <si>
    <t>Por litro</t>
  </si>
  <si>
    <t>Por m3</t>
  </si>
  <si>
    <t>Precio gasoil</t>
  </si>
  <si>
    <t>VIDIAS Y CADENAS</t>
  </si>
  <si>
    <t>Cadenas (por rozadora)</t>
  </si>
  <si>
    <t>Rendimiento m2/h</t>
  </si>
  <si>
    <t>Coste cadena</t>
  </si>
  <si>
    <t>Longitud total de bobina (m)</t>
  </si>
  <si>
    <t>Furgoneta transporte personal</t>
  </si>
  <si>
    <t>Todo terreno 4x4</t>
  </si>
  <si>
    <t xml:space="preserve">Nº </t>
  </si>
  <si>
    <t>Vagon perforador</t>
  </si>
  <si>
    <t>Vagon perforador/columna</t>
  </si>
  <si>
    <t>Perforacion con testigo continuo</t>
  </si>
  <si>
    <t>Torretas cortabloques</t>
  </si>
  <si>
    <t>PERFORACIÓN</t>
  </si>
  <si>
    <t>CORTE CON HILO</t>
  </si>
  <si>
    <t xml:space="preserve">PALAS </t>
  </si>
  <si>
    <t xml:space="preserve"> placa de acople rapido, moco, pinzas y horquilla</t>
  </si>
  <si>
    <t>Investigacion y estudios</t>
  </si>
  <si>
    <t>Adquisicion de terrenos</t>
  </si>
  <si>
    <t>Obras e infraestructuras</t>
  </si>
  <si>
    <t>Instalaciones</t>
  </si>
  <si>
    <t>Maquinaria movil</t>
  </si>
  <si>
    <t>Mobiliario</t>
  </si>
  <si>
    <t>Costes de  mano de obra</t>
  </si>
  <si>
    <t>Costes de suministro</t>
  </si>
  <si>
    <t>HIPERVÍNCULOS</t>
  </si>
  <si>
    <t>DATOS DE CANTERA</t>
  </si>
  <si>
    <t>Gasto de gasoil (l/CV*h)</t>
  </si>
  <si>
    <t>Pot. CV</t>
  </si>
  <si>
    <t>ELECTRICIDAD:</t>
  </si>
  <si>
    <t>Rozadoras</t>
  </si>
  <si>
    <t>Pot Kw</t>
  </si>
  <si>
    <t>Cortadoras de hilo</t>
  </si>
  <si>
    <t>DATOS ESCOMBRERA</t>
  </si>
  <si>
    <t>DATOS GENERALES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</si>
  <si>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consumidos por hora</t>
    </r>
  </si>
  <si>
    <t>Tiempo de trabajo (h)</t>
  </si>
  <si>
    <t>rendimien m2/h</t>
  </si>
  <si>
    <t>rendimiento m2/h</t>
  </si>
  <si>
    <t>-</t>
  </si>
  <si>
    <t>Coste  Estudio Impacto Ambiental</t>
  </si>
  <si>
    <t>Coste elaboración plan de labores</t>
  </si>
  <si>
    <t>Coste proyecto de apertura de cantera</t>
  </si>
  <si>
    <t>Coste proyectos de ingenieria</t>
  </si>
  <si>
    <t>COSTE TOTAL INVESTIGACION Y ESTUDIOS DE INGENIERIA</t>
  </si>
  <si>
    <t>Profundidad media prevista (m)</t>
  </si>
  <si>
    <t>SUPERFICIE necesaria=</t>
  </si>
  <si>
    <t xml:space="preserve">Superfice real utilizada (no recomendable &gt;25 ha) </t>
  </si>
  <si>
    <t>Superfice total calculada</t>
  </si>
  <si>
    <t>Longitud del camino de acceso (m)</t>
  </si>
  <si>
    <t>Electroneumáticas (m2)</t>
  </si>
  <si>
    <t>Taller (m2)</t>
  </si>
  <si>
    <t>Oficinas y almacen (m2)</t>
  </si>
  <si>
    <t>Superficie de edificaciones (m2)</t>
  </si>
  <si>
    <t>Vestuarios y comedor (m2)</t>
  </si>
  <si>
    <t>Coste por m</t>
  </si>
  <si>
    <t>Coste camino acceso</t>
  </si>
  <si>
    <t>Coste total edificaciones</t>
  </si>
  <si>
    <t>Coste polvorín</t>
  </si>
  <si>
    <t>Abastecimiento de agua</t>
  </si>
  <si>
    <t>Pozo</t>
  </si>
  <si>
    <t>Red principal</t>
  </si>
  <si>
    <t>Coste abastecimiento de agua</t>
  </si>
  <si>
    <t>Depósito/balsa</t>
  </si>
  <si>
    <t>Coste abastecimiento de combustible</t>
  </si>
  <si>
    <t>Coste centro de transformación</t>
  </si>
  <si>
    <t>nº de contenedores de obra</t>
  </si>
  <si>
    <t>coste unitario</t>
  </si>
  <si>
    <t>Transformador</t>
  </si>
  <si>
    <t>Lineas eléctricas</t>
  </si>
  <si>
    <t>Coste total de obras e infraestructuras</t>
  </si>
  <si>
    <t>m red principal</t>
  </si>
  <si>
    <t>coste por m</t>
  </si>
  <si>
    <t>Coste instalación neumática</t>
  </si>
  <si>
    <t>BOMBAS DE AGUA</t>
  </si>
  <si>
    <t>Coste grupos de bombeo</t>
  </si>
  <si>
    <t>GENERADORES</t>
  </si>
  <si>
    <t>Coste grupos generadores</t>
  </si>
  <si>
    <t>ILUMINACIÓN</t>
  </si>
  <si>
    <t>Coste total iluminación</t>
  </si>
  <si>
    <t>DRENAJE</t>
  </si>
  <si>
    <t>m de manguera</t>
  </si>
  <si>
    <t>Coste total drenaje</t>
  </si>
  <si>
    <t>VENTILACIÓN</t>
  </si>
  <si>
    <t>m de tuberia</t>
  </si>
  <si>
    <t>Coste total ventilación</t>
  </si>
  <si>
    <t>PRESUPUESTO TOTAL</t>
  </si>
  <si>
    <t>INVERSIONES</t>
  </si>
  <si>
    <t>COMPRA DEL TERRENO</t>
  </si>
  <si>
    <t>INSTALACIONES</t>
  </si>
  <si>
    <t>MAQUINARIA MOVIL</t>
  </si>
  <si>
    <t>MOBILIARIO</t>
  </si>
  <si>
    <t>COSTES</t>
  </si>
  <si>
    <t>INVERSIÓN TOTAL</t>
  </si>
  <si>
    <t>COSTE  TOTAL AL AÑO</t>
  </si>
  <si>
    <t>Nº de equipos de corte</t>
  </si>
  <si>
    <t>PREVISION</t>
  </si>
  <si>
    <t>Pala tipo 988</t>
  </si>
  <si>
    <t>Equipos de hilo</t>
  </si>
  <si>
    <t>Torretas corta bloques</t>
  </si>
  <si>
    <t>Furgoneta</t>
  </si>
  <si>
    <t xml:space="preserve">Perforadora de columna </t>
  </si>
  <si>
    <t>Vagón perforador</t>
  </si>
  <si>
    <t>INVERSION EQUIPOS PERFORACIÓN</t>
  </si>
  <si>
    <t>Equipos giratorios</t>
  </si>
  <si>
    <t>Pot  CV</t>
  </si>
  <si>
    <t>De brazo</t>
  </si>
  <si>
    <t>INVERSION EQUIPOS DE CORTE</t>
  </si>
  <si>
    <t>VOLVO A35C</t>
  </si>
  <si>
    <t>Pot. Kw</t>
  </si>
  <si>
    <t xml:space="preserve">Kom WA600 </t>
  </si>
  <si>
    <t xml:space="preserve">CAT 988G </t>
  </si>
  <si>
    <t>Juegos de hilo</t>
  </si>
  <si>
    <t>Cadena y widias</t>
  </si>
  <si>
    <t xml:space="preserve">Camion cuba 5 m3 </t>
  </si>
  <si>
    <t>INVERSION EQUIPOS CARGA Y TPTE</t>
  </si>
  <si>
    <t>INVERSION EQUIPOS AUXILIARES</t>
  </si>
  <si>
    <t>Coste total de maquinaria movil</t>
  </si>
  <si>
    <t>Coste total de instalaciones y servicios</t>
  </si>
  <si>
    <t>MOBILIARIO Y ENSERES</t>
  </si>
  <si>
    <t>Equipos informaticos</t>
  </si>
  <si>
    <t>Telecomunicaciones</t>
  </si>
  <si>
    <t>Mobiliario de almacén</t>
  </si>
  <si>
    <t>Equipos de taller</t>
  </si>
  <si>
    <t>Mobiliario de oficina</t>
  </si>
  <si>
    <t>Puestos de oficina y almacen</t>
  </si>
  <si>
    <t>Operarios de taller</t>
  </si>
  <si>
    <t>Mobiliario de comedor y aseos</t>
  </si>
  <si>
    <t>Climatización y agua caliente</t>
  </si>
  <si>
    <t>Sanitarios</t>
  </si>
  <si>
    <t>COSTE unitario</t>
  </si>
  <si>
    <t>Número de equipos de corte</t>
  </si>
  <si>
    <t>COSTE total</t>
  </si>
  <si>
    <t>Coste total de mobiliario y enseres</t>
  </si>
  <si>
    <t>IMPREVISTOS (15% total inversiones)</t>
  </si>
  <si>
    <t>RENTABILIDAD</t>
  </si>
  <si>
    <t xml:space="preserve">AÑO </t>
  </si>
  <si>
    <t xml:space="preserve">ENTRADAS </t>
  </si>
  <si>
    <t>SALIDAS</t>
  </si>
  <si>
    <t>IPC</t>
  </si>
  <si>
    <t>ENTRA</t>
  </si>
  <si>
    <t>ACTUALIZADOS</t>
  </si>
  <si>
    <t>SALE</t>
  </si>
  <si>
    <t>FLUJOS</t>
  </si>
  <si>
    <t>TIR</t>
  </si>
  <si>
    <t>Salario bruto</t>
  </si>
  <si>
    <t xml:space="preserve">Seg.Social </t>
  </si>
  <si>
    <t>Coste mano de obra al año</t>
  </si>
  <si>
    <t>Ing. Técnico /Enc. Gral.</t>
  </si>
  <si>
    <t xml:space="preserve">num./ % tiem </t>
  </si>
  <si>
    <t>Especialistas polivalentes</t>
  </si>
  <si>
    <t>Coste total</t>
  </si>
  <si>
    <t>Coste mano de obra por m3</t>
  </si>
  <si>
    <t xml:space="preserve"> DATOS DE OPERACIÓN</t>
  </si>
  <si>
    <t>Esteril a escombrera (m3)</t>
  </si>
  <si>
    <t>Consumo especifico de explosivo (kg/m3)</t>
  </si>
  <si>
    <t>Perforación específica (m/m3)</t>
  </si>
  <si>
    <t>VOLADURAS EN ESTÉRIL</t>
  </si>
  <si>
    <t>Porcentaje de estéril volado</t>
  </si>
  <si>
    <t>Volumen de estéril volado (m3)</t>
  </si>
  <si>
    <t>Superficie de levante con hilo (m2)</t>
  </si>
  <si>
    <t>SEPARACIÓN DE TORTAS</t>
  </si>
  <si>
    <t>Altura de tortas (m)</t>
  </si>
  <si>
    <t>Longitud de torta (m)</t>
  </si>
  <si>
    <t>Fondo de torta (m)</t>
  </si>
  <si>
    <t>Volumen de torta (m3)</t>
  </si>
  <si>
    <t>Corte con rozadora (m2/m3)</t>
  </si>
  <si>
    <t>Corte con hilo (m2/m3)</t>
  </si>
  <si>
    <t>Volumen de tortas separado (m3)</t>
  </si>
  <si>
    <t>Corte total con rozadora (m2)</t>
  </si>
  <si>
    <t>Corte total con hilo (m2)</t>
  </si>
  <si>
    <t>*</t>
  </si>
  <si>
    <t>Perforación (m)</t>
  </si>
  <si>
    <t>Consumo de explosivo (kg)</t>
  </si>
  <si>
    <t>Perforación (m/m3)</t>
  </si>
  <si>
    <t>Superficie inferior por torta(m2)</t>
  </si>
  <si>
    <t>Superficies laterales por torta (m2)</t>
  </si>
  <si>
    <t>Superficie dorsal por torta (m2)</t>
  </si>
  <si>
    <t>Perforación por torta (m)</t>
  </si>
  <si>
    <t>TROCEADO DE BLOQUES</t>
  </si>
  <si>
    <t>Perforación total (m)</t>
  </si>
  <si>
    <t>DIMENSIONES BLOQUES</t>
  </si>
  <si>
    <t>DIMENSIONES TORTAS</t>
  </si>
  <si>
    <t>Altura de bloques (m)</t>
  </si>
  <si>
    <t>Longitud de bloques (m)</t>
  </si>
  <si>
    <t>Ancho de bloques (m)</t>
  </si>
  <si>
    <t>Volumen bloque (m3)</t>
  </si>
  <si>
    <t>Peso bloque (t)</t>
  </si>
  <si>
    <t>Volumen torta (m3)</t>
  </si>
  <si>
    <t>Corte con torreta por bloque (m2)</t>
  </si>
  <si>
    <t>Corte con hilo por bloque (m2)</t>
  </si>
  <si>
    <t>Corte específico con torreta (m2/m3)</t>
  </si>
  <si>
    <t>Corte específico con hilo (m2/m3)</t>
  </si>
  <si>
    <t>Volumen de bloques (m3)</t>
  </si>
  <si>
    <t>Corte total con torreta (m2)</t>
  </si>
  <si>
    <t>Sup. final de explotacion (ha)</t>
  </si>
  <si>
    <t>Pendiente media ladera º</t>
  </si>
  <si>
    <t>Alt. Talud final (m)</t>
  </si>
  <si>
    <t>Nº reparaciones</t>
  </si>
  <si>
    <t>m2 de corte por m de hilo</t>
  </si>
  <si>
    <t>Vida entre reparaciones (m2)</t>
  </si>
  <si>
    <t>m2 de corte por bobina</t>
  </si>
  <si>
    <t>Intensidad de corriente (A)</t>
  </si>
  <si>
    <t>Tensión (V)</t>
  </si>
  <si>
    <t>Potencia (Kw)</t>
  </si>
  <si>
    <t>Consumo total (Kwh)</t>
  </si>
  <si>
    <t>PRECIO DEL Kwh</t>
  </si>
  <si>
    <t>Coste de hilo por m2</t>
  </si>
  <si>
    <t>Consumo de grasa (kg/h)</t>
  </si>
  <si>
    <t>COSTE ELECTRICIDAD</t>
  </si>
  <si>
    <t>Portavidias (por rozadora)</t>
  </si>
  <si>
    <t>Coste vidias (unidad)</t>
  </si>
  <si>
    <t>Vida cadena (m2 )</t>
  </si>
  <si>
    <t>Vida cadena (h)</t>
  </si>
  <si>
    <t>Vida juego vidias (m2 )</t>
  </si>
  <si>
    <t>Coste juego de vidias</t>
  </si>
  <si>
    <t>Vidias (por rozadora)</t>
  </si>
  <si>
    <t xml:space="preserve"> consumo Juegos vidias </t>
  </si>
  <si>
    <t>consumo de cadenas</t>
  </si>
  <si>
    <t>Coste cadena y vidias por m2</t>
  </si>
  <si>
    <t>CONSUMO DE ENERGIA Y LUBRICACIÓN</t>
  </si>
  <si>
    <t>Lubricantes:</t>
  </si>
  <si>
    <t>COSTE GASOIL Y LUBRICANTES</t>
  </si>
  <si>
    <t>Precio Kg grasa</t>
  </si>
  <si>
    <t>COSTE AGUA</t>
  </si>
  <si>
    <t>Precio agua</t>
  </si>
  <si>
    <t>Consumo total (m3)</t>
  </si>
  <si>
    <t>**</t>
  </si>
  <si>
    <t>Consumo total de grasa año (kg)</t>
  </si>
  <si>
    <t>* Pot</t>
  </si>
  <si>
    <t>Gasto de gasoil (l/Kw*h)</t>
  </si>
  <si>
    <t>TRANSPORTE CON VOLQUETE</t>
  </si>
  <si>
    <t>Distancia TPTE bloques (m)</t>
  </si>
  <si>
    <t>Longitud final de frentes (m)</t>
  </si>
  <si>
    <t>Distancia TPTE estéril (m)</t>
  </si>
  <si>
    <t>Velocidad media de ciclo (Km/h)</t>
  </si>
  <si>
    <t>Ciclo de carga/descarga bloques (min)</t>
  </si>
  <si>
    <t>Ciclo de carga/descarga estéril (min)</t>
  </si>
  <si>
    <t>Tiempo de transporte bloques (h)</t>
  </si>
  <si>
    <t>Tiempo de transporte estéril (h)</t>
  </si>
  <si>
    <t>Viajes a escombrera</t>
  </si>
  <si>
    <t>Cap (t)</t>
  </si>
  <si>
    <t>Trabajo anual (h)</t>
  </si>
  <si>
    <t>Trabajo por dia (h)</t>
  </si>
  <si>
    <t>Nº de volquetes necesarios</t>
  </si>
  <si>
    <t>Densidad de escombrera (t/m3)</t>
  </si>
  <si>
    <t>Gasto de gasoil  (l/Kw*h)</t>
  </si>
  <si>
    <t>Gasto anual (l)</t>
  </si>
  <si>
    <t>Coste anual volquete</t>
  </si>
  <si>
    <t>Coste anual perforadoras</t>
  </si>
  <si>
    <t>Coste anual Pala cargadora Kom WA600</t>
  </si>
  <si>
    <t>Gasto medio calculado (l/h)</t>
  </si>
  <si>
    <t>OPERACIONES CON PALA</t>
  </si>
  <si>
    <t>Palas cargadoras tipo 988</t>
  </si>
  <si>
    <t>Trabajo por dia y equipo de corte (h)</t>
  </si>
  <si>
    <t>Trabajo anual en 220 dias (h)</t>
  </si>
  <si>
    <t>Coste total de lubricantes año</t>
  </si>
  <si>
    <t>% de lubricantes/gasoil</t>
  </si>
  <si>
    <t>OPERACIONES CON PERFORADORA</t>
  </si>
  <si>
    <t>BARRENAS</t>
  </si>
  <si>
    <t>Coste barrenas por m2</t>
  </si>
  <si>
    <t>Superficie de corte con torreta (m2)</t>
  </si>
  <si>
    <t>Superficie anual de corte con rozadora (m2)</t>
  </si>
  <si>
    <t>Superficie anual de corte con hilo (m2)</t>
  </si>
  <si>
    <r>
      <t>RENDIMIENTO de 1m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 agua (m3/m2)</t>
    </r>
  </si>
  <si>
    <t>COSTE  ANUAL HILOS DE CORTE</t>
  </si>
  <si>
    <t>COSTE  ANUAL VIDIAS Y CADENAS</t>
  </si>
  <si>
    <t>COSTE  ANUAL BARRENAS</t>
  </si>
  <si>
    <t>Compresores</t>
  </si>
  <si>
    <t>vel. Avance (m/min)</t>
  </si>
  <si>
    <t>Espaciamiento entre barrenas (m)</t>
  </si>
  <si>
    <t>se divide</t>
  </si>
  <si>
    <t>Rendimiento  para 5 martillos (m2/h)</t>
  </si>
  <si>
    <t>Vida de la barrena (m)</t>
  </si>
  <si>
    <t>Vida de la barrena (m2)</t>
  </si>
  <si>
    <t>Nº barrenas</t>
  </si>
  <si>
    <t>Coste de cada barrena de 2m</t>
  </si>
  <si>
    <t>Coste total de las barrenas</t>
  </si>
  <si>
    <t>Martillos tipo ATLAS BBD94 de 27-29 mm</t>
  </si>
  <si>
    <t>PERFORACIÓN M.F.</t>
  </si>
  <si>
    <t>Tiempo de trabajo máquina (h)</t>
  </si>
  <si>
    <t>Nº de barrenos de 10 m en estéril</t>
  </si>
  <si>
    <t>Nº de barrenos paso hilo</t>
  </si>
  <si>
    <t>Tiempo de desplazamiento y posicion (h)</t>
  </si>
  <si>
    <t>Tiempo de perforación (h)</t>
  </si>
  <si>
    <t>Vida de la boca (m)</t>
  </si>
  <si>
    <t>Nº bocas</t>
  </si>
  <si>
    <t>Coste de cada boca</t>
  </si>
  <si>
    <t>Coste total de las bocas</t>
  </si>
  <si>
    <t>COSTE  ANUAL Bocas</t>
  </si>
  <si>
    <t>CONSUMO DE AGUA</t>
  </si>
  <si>
    <t>Cuba de riego</t>
  </si>
  <si>
    <t>Nº riegos día</t>
  </si>
  <si>
    <t>Días de riego</t>
  </si>
  <si>
    <t>Consumo por día (m3)</t>
  </si>
  <si>
    <t xml:space="preserve">  m3 de agua por m de frente</t>
  </si>
  <si>
    <t>Vida media de un neumático pala (h)</t>
  </si>
  <si>
    <t>Vida media de un neumático volquete (h)</t>
  </si>
  <si>
    <t>Trabajo anual pala (h)</t>
  </si>
  <si>
    <t>Trabajo anual volquete (h)</t>
  </si>
  <si>
    <t>Vida media de un juego cadenas (h)</t>
  </si>
  <si>
    <t>HIGIENE Y SEGURIDAD</t>
  </si>
  <si>
    <t>COSTE  ANUAL SEGURIDAD</t>
  </si>
  <si>
    <t>CÁNONES</t>
  </si>
  <si>
    <t>COSTE  ANUAL CÁNONES</t>
  </si>
  <si>
    <t>COSTE  ANUAL NEUMÁTICOS</t>
  </si>
  <si>
    <t>Coste de cadenas (juego)</t>
  </si>
  <si>
    <t>Coste de neumáticos pala (ud)</t>
  </si>
  <si>
    <t>Coste de neumáticos volquete (ud)</t>
  </si>
  <si>
    <t>NEUMÁTICOS Y CADENAS</t>
  </si>
  <si>
    <t>Coste total de neumáticos y cadenas pala</t>
  </si>
  <si>
    <t>Coste total de neumáticos volquete</t>
  </si>
  <si>
    <t>Coste de un juego de EPI</t>
  </si>
  <si>
    <t>Nº de hombres a proteger</t>
  </si>
  <si>
    <t xml:space="preserve">Nº de juegos de EPI (2 por año) </t>
  </si>
  <si>
    <t>Coste total EPI</t>
  </si>
  <si>
    <t>Coste total EPC</t>
  </si>
  <si>
    <t>Coste total FORMACIÓN</t>
  </si>
  <si>
    <t>Coste total MUTUALIDAD</t>
  </si>
  <si>
    <t>Coste MUTUALIDAD por trabajador</t>
  </si>
  <si>
    <t>Coste de canon</t>
  </si>
  <si>
    <t>Producción (m3)</t>
  </si>
  <si>
    <t>Canon por (eur/m3)</t>
  </si>
  <si>
    <t>RESUMEN</t>
  </si>
  <si>
    <t>TOTAL</t>
  </si>
  <si>
    <t>POR m3</t>
  </si>
  <si>
    <t>MANTENIMIENTO</t>
  </si>
  <si>
    <t>Costes de  Mantenimiento</t>
  </si>
  <si>
    <t>Costes Indirectos</t>
  </si>
  <si>
    <t>Presupuesto</t>
  </si>
  <si>
    <t>COSTES INDIRECTOS</t>
  </si>
  <si>
    <t>eur/m3</t>
  </si>
  <si>
    <t>Trabajadores</t>
  </si>
  <si>
    <t>Equipos de corte</t>
  </si>
  <si>
    <t>constantes</t>
  </si>
  <si>
    <t>cantera</t>
  </si>
  <si>
    <t>resultados</t>
  </si>
  <si>
    <t>de calculo</t>
  </si>
  <si>
    <t>Vol. escombrera al año  (m3)</t>
  </si>
  <si>
    <t>Volumen TOTAL (V) (m3)</t>
  </si>
  <si>
    <t>Anchura escombrera (L) (m)</t>
  </si>
  <si>
    <t>Altura de escombrera (H) (m)</t>
  </si>
  <si>
    <r>
      <t>Angulo inclinacion ladera (</t>
    </r>
    <r>
      <rPr>
        <b/>
        <sz val="11"/>
        <rFont val="Symbol"/>
        <family val="1"/>
      </rPr>
      <t>a</t>
    </r>
    <r>
      <rPr>
        <b/>
        <sz val="11"/>
        <rFont val="Arial"/>
        <family val="2"/>
      </rPr>
      <t>)º</t>
    </r>
  </si>
  <si>
    <r>
      <t>Angulo escombrera (</t>
    </r>
    <r>
      <rPr>
        <b/>
        <sz val="11"/>
        <rFont val="Symbol"/>
        <family val="1"/>
      </rPr>
      <t>b)</t>
    </r>
    <r>
      <rPr>
        <b/>
        <sz val="11"/>
        <rFont val="Arial"/>
        <family val="2"/>
      </rPr>
      <t>º</t>
    </r>
  </si>
  <si>
    <t>COSTE por h</t>
  </si>
  <si>
    <t>Factor mto</t>
  </si>
  <si>
    <t>Nº  horas</t>
  </si>
  <si>
    <t>Vida media (h)</t>
  </si>
  <si>
    <t>MTO EQUIPOS PERFORACIÓN</t>
  </si>
  <si>
    <t>Equipos de escuadrado</t>
  </si>
  <si>
    <t>MTO EQUIPOS DE CORTE</t>
  </si>
  <si>
    <t>Rozadoras de brazo</t>
  </si>
  <si>
    <t>Equipos  de hilo giratorios</t>
  </si>
  <si>
    <t xml:space="preserve">Equipos de hilo de escuadrado </t>
  </si>
  <si>
    <t>MTO EQUIPOS CARGA Y TPTE</t>
  </si>
  <si>
    <t>OTROS VEHICULOS</t>
  </si>
  <si>
    <t>MTO OTROS VEHICULOS</t>
  </si>
  <si>
    <t>Coste total mto maq. Móvil</t>
  </si>
  <si>
    <t>Coste total mto equipos electromecánicos</t>
  </si>
  <si>
    <t>Coste mantenimiento al año</t>
  </si>
  <si>
    <t>Capacidad (l/min)</t>
  </si>
  <si>
    <t>CONSUMO TOTAL AGUA (m3)</t>
  </si>
  <si>
    <t xml:space="preserve">Caudal (l/min) </t>
  </si>
  <si>
    <t>Bombas de agua</t>
  </si>
  <si>
    <t>Sumergida</t>
  </si>
  <si>
    <t xml:space="preserve">Voltaje (V) </t>
  </si>
  <si>
    <t>Pot. KVA</t>
  </si>
  <si>
    <t>Portátil</t>
  </si>
  <si>
    <t>CONSUMO ELECTRICIDAD (Kwh)</t>
  </si>
  <si>
    <t>Grupo generador</t>
  </si>
  <si>
    <t>Focos</t>
  </si>
  <si>
    <t>Generadores iluminación</t>
  </si>
  <si>
    <t>dias t noche</t>
  </si>
  <si>
    <t>horas</t>
  </si>
  <si>
    <t>Bombas portatiles</t>
  </si>
  <si>
    <t>Axial</t>
  </si>
  <si>
    <t>Capacidad (m3/s)</t>
  </si>
  <si>
    <t>Ventiladores</t>
  </si>
  <si>
    <t>CONSUMO GASOIL al AÑO (l)</t>
  </si>
  <si>
    <t>CONSUMO GASOIL a la SEMANA (l)</t>
  </si>
  <si>
    <t>CAMINO DE ACCESO</t>
  </si>
  <si>
    <t>EDIFICACIONES</t>
  </si>
  <si>
    <t>POLVORÍN</t>
  </si>
  <si>
    <t>ABASTECIMIENTO DE AGUA Y COMBUSTIBLE</t>
  </si>
  <si>
    <t>Abastecimiento de combustible</t>
  </si>
  <si>
    <t>CENTRO DE TRANSFORMACIÓN</t>
  </si>
  <si>
    <t>Asiduidad de relleno (semanas)</t>
  </si>
  <si>
    <t>Consumo de gasoil a la semana (l)</t>
  </si>
  <si>
    <t>Dimensiones depósito combustible</t>
  </si>
  <si>
    <t>Capacidad aproximada depósito (l)</t>
  </si>
  <si>
    <t>11 h dia</t>
  </si>
  <si>
    <t>Precio medio venta (eu/m3)</t>
  </si>
  <si>
    <t xml:space="preserve"> Producción m3 por obrero</t>
  </si>
  <si>
    <t>Altura media  de estéril volado (m)</t>
  </si>
  <si>
    <t>COSTE  ANUAL EXPLOSIVOS</t>
  </si>
  <si>
    <t>EXPLOSIVOS</t>
  </si>
  <si>
    <t>Coste de explosivos</t>
  </si>
  <si>
    <t>euros m3</t>
  </si>
  <si>
    <t>Número de voladuras</t>
  </si>
  <si>
    <t>Gastos vigilancia y tramitación de una  voladura</t>
  </si>
  <si>
    <t>Coste total voladuras</t>
  </si>
  <si>
    <t>GASTOS FINANCIEROS</t>
  </si>
  <si>
    <t>% credito sobre inversiones</t>
  </si>
  <si>
    <t>Créditos a corto</t>
  </si>
  <si>
    <t>Créditos a largo plazo</t>
  </si>
  <si>
    <t>% interés a corto</t>
  </si>
  <si>
    <t>% interés a largo</t>
  </si>
  <si>
    <t>anualidades</t>
  </si>
  <si>
    <t>Gastos financieros a corto</t>
  </si>
  <si>
    <t>Amortiza</t>
  </si>
  <si>
    <t>2 min pos</t>
  </si>
  <si>
    <t>entre  5 y 10</t>
  </si>
  <si>
    <t>Interes medio</t>
  </si>
  <si>
    <t>Interes total</t>
  </si>
  <si>
    <t>Intereses totales</t>
  </si>
  <si>
    <t>CAPITAL CIRCULANTE ( 1 cuatrimestre de costes directos de operación)</t>
  </si>
  <si>
    <t>SEGUROS</t>
  </si>
  <si>
    <t>AVALES</t>
  </si>
  <si>
    <t>Valor maquinaria móvil</t>
  </si>
  <si>
    <t>Porcentaje de seguro anual</t>
  </si>
  <si>
    <t>Gasto seguro maquinaria</t>
  </si>
  <si>
    <t>Costes salariales</t>
  </si>
  <si>
    <t>Gasto seguro trabajadores</t>
  </si>
  <si>
    <t>Maquinaria móvil</t>
  </si>
  <si>
    <t>RESTAURACIÓN</t>
  </si>
  <si>
    <t>1/10 de coste total en un año</t>
  </si>
  <si>
    <t>GASTOS GENERALES Y ADMINISTRATIVOS</t>
  </si>
  <si>
    <t>1/10 del total de los salarios en un año</t>
  </si>
  <si>
    <t>EQUIPOS ELECTROMECÁNICOS</t>
  </si>
  <si>
    <t>Nº compresores calculado</t>
  </si>
  <si>
    <t>Años</t>
  </si>
  <si>
    <t>7 horas efectivas/11h</t>
  </si>
  <si>
    <t>de cada 11h</t>
  </si>
  <si>
    <t>Trabajo anual  (h)</t>
  </si>
  <si>
    <t>Trabajo anual por unidad en 220 dias (h)</t>
  </si>
  <si>
    <t>a 30 m/min</t>
  </si>
  <si>
    <t>/6 de cada numero</t>
  </si>
  <si>
    <t>2 nº dobles</t>
  </si>
  <si>
    <t>nagolita y cordon</t>
  </si>
  <si>
    <t>B</t>
  </si>
  <si>
    <t>grasa baja calidad</t>
  </si>
  <si>
    <t>aceite a 1 euro/kg</t>
  </si>
  <si>
    <t>0,8kg/litro</t>
  </si>
  <si>
    <t>200l/250 horas</t>
  </si>
  <si>
    <t>iluminación a red = 220dias*12h*20kw</t>
  </si>
  <si>
    <t>ATLAS GA160</t>
  </si>
  <si>
    <t>POR SUPERFICIE</t>
  </si>
  <si>
    <t>10000 euros/ha</t>
  </si>
  <si>
    <t>coste por m3</t>
  </si>
  <si>
    <t>Volumen anual arrancado (m3)</t>
  </si>
  <si>
    <t>Nº de bloques teórico</t>
  </si>
  <si>
    <t>Nº de bloques con despuntes</t>
  </si>
  <si>
    <t>Todos los cortes con torreta</t>
  </si>
  <si>
    <t>Caras laterales torreta y puntas hilo</t>
  </si>
  <si>
    <t>Escombrera a pie de cantera</t>
  </si>
  <si>
    <t>Escombrera aparte</t>
  </si>
  <si>
    <t>Long. escombre. (H/tan alfa) (m)</t>
  </si>
  <si>
    <t>Distancia a escombrera</t>
  </si>
  <si>
    <t>0,4 para triturar el escombro</t>
  </si>
  <si>
    <t>0,15 para triturar escombro</t>
  </si>
  <si>
    <t>2 viajes i/v</t>
  </si>
  <si>
    <t>(Prod anual / %aprov)*años</t>
  </si>
  <si>
    <t>Volumen total de roca a extraer  (m3)</t>
  </si>
  <si>
    <t>Superfice de explotacion    (m2)</t>
  </si>
  <si>
    <t xml:space="preserve">1 sondeo cada </t>
  </si>
  <si>
    <t>m2</t>
  </si>
  <si>
    <t xml:space="preserve"> Incluido seguimiento geológico</t>
  </si>
  <si>
    <t>Índice de ocupación de volquetes</t>
  </si>
  <si>
    <t>Vagon perforador (+ compresor auxiliar )</t>
  </si>
  <si>
    <t>NOMBRE CANTERA:</t>
  </si>
  <si>
    <t>PARAJE:</t>
  </si>
  <si>
    <t>TIPO DE PIEDRA</t>
  </si>
  <si>
    <t>HOJA RESUMEN</t>
  </si>
  <si>
    <t>1 CADA 20</t>
  </si>
  <si>
    <t>1 CADA 40</t>
  </si>
  <si>
    <t>4 usos</t>
  </si>
  <si>
    <t>Resistencia roca (kg/cm2)</t>
  </si>
  <si>
    <t>Un uso por corte para resistencias &lt; 800 (kg/cm2), para &gt; 800  0,5 usos</t>
  </si>
  <si>
    <t>tiempo trabajo es 30% mas que el trabajo de las torretas</t>
  </si>
  <si>
    <t xml:space="preserve">Relación de los costes anuales  de suministros por m3 de piedra obtenido </t>
  </si>
  <si>
    <t>Hilos de corte</t>
  </si>
  <si>
    <t>Vidias y cadenas</t>
  </si>
  <si>
    <t xml:space="preserve"> Barrenas</t>
  </si>
  <si>
    <t xml:space="preserve"> Bocas</t>
  </si>
  <si>
    <t>Explosivos</t>
  </si>
  <si>
    <t>Neumáticos</t>
  </si>
  <si>
    <t>Gasoil y lubricantes</t>
  </si>
  <si>
    <t>Electricidad</t>
  </si>
  <si>
    <t>Agua</t>
  </si>
  <si>
    <t>Seguridad</t>
  </si>
  <si>
    <t>Cánones</t>
  </si>
  <si>
    <t>Coste Total al año</t>
  </si>
  <si>
    <t>T.I.R</t>
  </si>
  <si>
    <t>Datos de presupuesto de cantera</t>
  </si>
  <si>
    <t>Resumen</t>
  </si>
  <si>
    <t>Precio de venta m3</t>
  </si>
  <si>
    <t>Aprovechamiento %</t>
  </si>
  <si>
    <t>Tipo de via de comunicación desde la que se visualiza</t>
  </si>
  <si>
    <t>Efecto Medioambiental</t>
  </si>
  <si>
    <t xml:space="preserve">Coste específico por m3 </t>
  </si>
  <si>
    <t>Inversión por trabajador (miles €)</t>
  </si>
  <si>
    <t>Inversión Total (miles €)</t>
  </si>
  <si>
    <t>Pendiente de ladera º</t>
  </si>
  <si>
    <t>Efecto paisajístico %</t>
  </si>
  <si>
    <t>Efecto sobre el medio %</t>
  </si>
  <si>
    <t>Efecto visual %</t>
  </si>
  <si>
    <t>Efecto total %</t>
  </si>
  <si>
    <t>Explotación (meses)</t>
  </si>
  <si>
    <t>al año</t>
  </si>
  <si>
    <t>puede trasladarse</t>
  </si>
  <si>
    <t>0,9 de red</t>
  </si>
  <si>
    <t>6 de cubas</t>
  </si>
  <si>
    <t>Superfice para cálculo</t>
  </si>
  <si>
    <t xml:space="preserve">Inversión en € por m3 producido </t>
  </si>
  <si>
    <t>n</t>
  </si>
  <si>
    <t>s</t>
  </si>
  <si>
    <t>mayor que cero</t>
  </si>
  <si>
    <t>se puede trasladar a efectos de coste solo el tiempo real  aquí.</t>
  </si>
  <si>
    <t>reducido al número de meses trabajados</t>
  </si>
  <si>
    <t>UNIV. POLITÉCNICA DE CARTAGENA Versión de Prueba 1.05</t>
  </si>
  <si>
    <t>INDIRECTOS</t>
  </si>
  <si>
    <t>rellenar superficie cuando está fuera</t>
  </si>
  <si>
    <t>recomendables si no hay datos</t>
  </si>
  <si>
    <t>Sierra de la Puerta (Cehegín)</t>
  </si>
  <si>
    <t>a</t>
  </si>
  <si>
    <t>b</t>
  </si>
  <si>
    <t>COSTE a+b</t>
  </si>
  <si>
    <t>PRODUCTIVIDAD</t>
  </si>
  <si>
    <t>m3/obre</t>
  </si>
  <si>
    <t>SP10</t>
  </si>
  <si>
    <t>C.A. Región de Murcia: CONSEJERÍA DE INDUSTRIA Y MM.AA. INFO</t>
  </si>
  <si>
    <t>Crema</t>
  </si>
  <si>
    <t>C.A. Región de Murcia: CONSEJERÍA DE INDUSTRIA  Y MM.AA. INFO</t>
  </si>
  <si>
    <t>C.A. Región de Murcia: CONSEJERÍA DE  INDUSTRIA Y MM.AA. INFO</t>
  </si>
  <si>
    <t>C.A. Región de Murcia: CONSEJERÍA DE INDUSTRIA Y MMAA. INFO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</si>
</sst>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"/>
  </numFmts>
  <fonts count="44">
    <font>
      <sz val="10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sz val="12"/>
      <name val="Arial"/>
      <family val="2"/>
    </font>
    <font>
      <b/>
      <vertAlign val="superscript"/>
      <sz val="10"/>
      <name val="Symbol"/>
      <family val="1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6"/>
      <color indexed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ahoma"/>
      <family val="2"/>
    </font>
    <font>
      <sz val="10"/>
      <color indexed="57"/>
      <name val="Arial"/>
      <family val="0"/>
    </font>
    <font>
      <sz val="10"/>
      <color indexed="61"/>
      <name val="Arial"/>
      <family val="0"/>
    </font>
    <font>
      <b/>
      <sz val="13.5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4" borderId="3" xfId="0" applyFont="1" applyFill="1" applyBorder="1" applyAlignment="1">
      <alignment/>
    </xf>
    <xf numFmtId="0" fontId="0" fillId="0" borderId="3" xfId="0" applyBorder="1" applyAlignment="1">
      <alignment/>
    </xf>
    <xf numFmtId="0" fontId="9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8" fillId="4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4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4" fontId="0" fillId="0" borderId="0" xfId="15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44" fontId="0" fillId="0" borderId="0" xfId="15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1" xfId="0" applyFont="1" applyBorder="1" applyAlignment="1">
      <alignment/>
    </xf>
    <xf numFmtId="0" fontId="25" fillId="0" borderId="0" xfId="0" applyFont="1" applyBorder="1" applyAlignment="1">
      <alignment/>
    </xf>
    <xf numFmtId="164" fontId="25" fillId="0" borderId="1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/>
    </xf>
    <xf numFmtId="0" fontId="25" fillId="0" borderId="4" xfId="0" applyFont="1" applyBorder="1" applyAlignment="1">
      <alignment/>
    </xf>
    <xf numFmtId="0" fontId="30" fillId="0" borderId="1" xfId="0" applyFont="1" applyBorder="1" applyAlignment="1">
      <alignment/>
    </xf>
    <xf numFmtId="0" fontId="25" fillId="0" borderId="1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64" fontId="25" fillId="0" borderId="1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4" fontId="25" fillId="0" borderId="1" xfId="15" applyFont="1" applyBorder="1" applyAlignment="1">
      <alignment vertical="center"/>
    </xf>
    <xf numFmtId="44" fontId="25" fillId="0" borderId="1" xfId="15" applyFont="1" applyBorder="1" applyAlignment="1">
      <alignment/>
    </xf>
    <xf numFmtId="44" fontId="25" fillId="0" borderId="1" xfId="0" applyNumberFormat="1" applyFont="1" applyBorder="1" applyAlignment="1">
      <alignment/>
    </xf>
    <xf numFmtId="44" fontId="25" fillId="0" borderId="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4" fontId="25" fillId="0" borderId="1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30" fillId="0" borderId="0" xfId="15" applyFont="1" applyBorder="1" applyAlignment="1">
      <alignment/>
    </xf>
    <xf numFmtId="0" fontId="28" fillId="0" borderId="0" xfId="0" applyFont="1" applyBorder="1" applyAlignment="1">
      <alignment/>
    </xf>
    <xf numFmtId="44" fontId="28" fillId="0" borderId="0" xfId="15" applyFont="1" applyBorder="1" applyAlignment="1">
      <alignment/>
    </xf>
    <xf numFmtId="44" fontId="25" fillId="0" borderId="0" xfId="15" applyFont="1" applyBorder="1" applyAlignment="1">
      <alignment/>
    </xf>
    <xf numFmtId="0" fontId="30" fillId="0" borderId="0" xfId="0" applyFont="1" applyBorder="1" applyAlignment="1">
      <alignment/>
    </xf>
    <xf numFmtId="164" fontId="30" fillId="0" borderId="0" xfId="0" applyNumberFormat="1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/>
    </xf>
    <xf numFmtId="164" fontId="25" fillId="0" borderId="1" xfId="15" applyNumberFormat="1" applyFont="1" applyBorder="1" applyAlignment="1">
      <alignment/>
    </xf>
    <xf numFmtId="0" fontId="25" fillId="0" borderId="1" xfId="15" applyNumberFormat="1" applyFont="1" applyBorder="1" applyAlignment="1">
      <alignment/>
    </xf>
    <xf numFmtId="44" fontId="25" fillId="0" borderId="0" xfId="0" applyNumberFormat="1" applyFont="1" applyBorder="1" applyAlignment="1">
      <alignment vertical="center"/>
    </xf>
    <xf numFmtId="44" fontId="0" fillId="0" borderId="0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vertical="center"/>
    </xf>
    <xf numFmtId="0" fontId="25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25" fillId="0" borderId="0" xfId="0" applyNumberFormat="1" applyFont="1" applyFill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1" xfId="0" applyNumberFormat="1" applyFont="1" applyBorder="1" applyAlignment="1">
      <alignment/>
    </xf>
    <xf numFmtId="44" fontId="7" fillId="0" borderId="1" xfId="15" applyFont="1" applyBorder="1" applyAlignment="1">
      <alignment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8" fontId="25" fillId="0" borderId="0" xfId="0" applyNumberFormat="1" applyFont="1" applyAlignment="1">
      <alignment/>
    </xf>
    <xf numFmtId="164" fontId="25" fillId="0" borderId="4" xfId="0" applyNumberFormat="1" applyFont="1" applyBorder="1" applyAlignment="1">
      <alignment vertical="center"/>
    </xf>
    <xf numFmtId="164" fontId="25" fillId="0" borderId="0" xfId="0" applyNumberFormat="1" applyFont="1" applyAlignment="1">
      <alignment/>
    </xf>
    <xf numFmtId="44" fontId="25" fillId="0" borderId="0" xfId="0" applyNumberFormat="1" applyFont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0" xfId="15" applyBorder="1" applyAlignment="1">
      <alignment/>
    </xf>
    <xf numFmtId="44" fontId="0" fillId="0" borderId="16" xfId="15" applyBorder="1" applyAlignment="1">
      <alignment/>
    </xf>
    <xf numFmtId="44" fontId="0" fillId="0" borderId="17" xfId="15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44" fontId="0" fillId="0" borderId="18" xfId="15" applyBorder="1" applyAlignment="1">
      <alignment/>
    </xf>
    <xf numFmtId="44" fontId="0" fillId="0" borderId="19" xfId="15" applyBorder="1" applyAlignment="1">
      <alignment/>
    </xf>
    <xf numFmtId="164" fontId="0" fillId="0" borderId="19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15" applyFont="1" applyFill="1" applyBorder="1" applyAlignment="1">
      <alignment vertical="center"/>
    </xf>
    <xf numFmtId="44" fontId="0" fillId="0" borderId="16" xfId="15" applyFont="1" applyFill="1" applyBorder="1" applyAlignment="1">
      <alignment vertical="center"/>
    </xf>
    <xf numFmtId="44" fontId="0" fillId="0" borderId="19" xfId="15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44" fontId="25" fillId="0" borderId="0" xfId="15" applyFont="1" applyAlignment="1">
      <alignment/>
    </xf>
    <xf numFmtId="8" fontId="7" fillId="0" borderId="4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6" borderId="6" xfId="0" applyFont="1" applyFill="1" applyBorder="1" applyAlignment="1">
      <alignment horizontal="center"/>
    </xf>
    <xf numFmtId="164" fontId="7" fillId="0" borderId="1" xfId="0" applyNumberFormat="1" applyFont="1" applyBorder="1" applyAlignment="1">
      <alignment/>
    </xf>
    <xf numFmtId="164" fontId="7" fillId="0" borderId="4" xfId="0" applyNumberFormat="1" applyFont="1" applyBorder="1" applyAlignment="1">
      <alignment vertical="center"/>
    </xf>
    <xf numFmtId="44" fontId="7" fillId="0" borderId="4" xfId="0" applyNumberFormat="1" applyFont="1" applyBorder="1" applyAlignment="1">
      <alignment/>
    </xf>
    <xf numFmtId="164" fontId="7" fillId="0" borderId="2" xfId="0" applyNumberFormat="1" applyFont="1" applyBorder="1" applyAlignment="1">
      <alignment vertical="center"/>
    </xf>
    <xf numFmtId="0" fontId="34" fillId="6" borderId="4" xfId="0" applyFont="1" applyFill="1" applyBorder="1" applyAlignment="1">
      <alignment horizontal="center"/>
    </xf>
    <xf numFmtId="164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7" fillId="0" borderId="1" xfId="0" applyFont="1" applyBorder="1" applyAlignment="1">
      <alignment/>
    </xf>
    <xf numFmtId="44" fontId="25" fillId="0" borderId="1" xfId="15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44" fontId="25" fillId="0" borderId="4" xfId="15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vertical="center"/>
    </xf>
    <xf numFmtId="6" fontId="2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 applyProtection="1">
      <alignment/>
      <protection locked="0"/>
    </xf>
    <xf numFmtId="0" fontId="28" fillId="0" borderId="1" xfId="0" applyFont="1" applyBorder="1" applyAlignment="1" applyProtection="1">
      <alignment/>
      <protection locked="0"/>
    </xf>
    <xf numFmtId="6" fontId="30" fillId="0" borderId="1" xfId="0" applyNumberFormat="1" applyFont="1" applyBorder="1" applyAlignment="1" applyProtection="1">
      <alignment horizontal="right"/>
      <protection locked="0"/>
    </xf>
    <xf numFmtId="0" fontId="28" fillId="0" borderId="8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/>
      <protection locked="0"/>
    </xf>
    <xf numFmtId="0" fontId="28" fillId="0" borderId="9" xfId="0" applyFont="1" applyBorder="1" applyAlignment="1" applyProtection="1">
      <alignment/>
      <protection locked="0"/>
    </xf>
    <xf numFmtId="0" fontId="28" fillId="0" borderId="23" xfId="0" applyFont="1" applyBorder="1" applyAlignment="1" applyProtection="1">
      <alignment/>
      <protection locked="0"/>
    </xf>
    <xf numFmtId="0" fontId="28" fillId="0" borderId="24" xfId="0" applyFont="1" applyBorder="1" applyAlignment="1" applyProtection="1">
      <alignment/>
      <protection locked="0"/>
    </xf>
    <xf numFmtId="0" fontId="28" fillId="0" borderId="4" xfId="0" applyFont="1" applyBorder="1" applyAlignment="1" applyProtection="1">
      <alignment/>
      <protection locked="0"/>
    </xf>
    <xf numFmtId="0" fontId="32" fillId="0" borderId="4" xfId="0" applyFont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/>
      <protection locked="0"/>
    </xf>
    <xf numFmtId="0" fontId="28" fillId="0" borderId="1" xfId="0" applyFont="1" applyBorder="1" applyAlignment="1" applyProtection="1">
      <alignment vertical="center"/>
      <protection locked="0"/>
    </xf>
    <xf numFmtId="164" fontId="28" fillId="0" borderId="1" xfId="0" applyNumberFormat="1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 locked="0"/>
    </xf>
    <xf numFmtId="0" fontId="28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/>
      <protection locked="0"/>
    </xf>
    <xf numFmtId="44" fontId="30" fillId="0" borderId="1" xfId="15" applyFont="1" applyBorder="1" applyAlignment="1" applyProtection="1">
      <alignment/>
      <protection locked="0"/>
    </xf>
    <xf numFmtId="164" fontId="30" fillId="0" borderId="1" xfId="0" applyNumberFormat="1" applyFont="1" applyBorder="1" applyAlignment="1" applyProtection="1">
      <alignment/>
      <protection locked="0"/>
    </xf>
    <xf numFmtId="44" fontId="30" fillId="0" borderId="1" xfId="15" applyFont="1" applyBorder="1" applyAlignment="1" applyProtection="1">
      <alignment/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30" fillId="0" borderId="1" xfId="15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/>
      <protection/>
    </xf>
    <xf numFmtId="44" fontId="28" fillId="0" borderId="1" xfId="15" applyFont="1" applyBorder="1" applyAlignment="1" applyProtection="1">
      <alignment/>
      <protection locked="0"/>
    </xf>
    <xf numFmtId="0" fontId="28" fillId="0" borderId="1" xfId="0" applyNumberFormat="1" applyFont="1" applyBorder="1" applyAlignment="1" applyProtection="1">
      <alignment horizontal="right"/>
      <protection locked="0"/>
    </xf>
    <xf numFmtId="44" fontId="28" fillId="0" borderId="1" xfId="15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164" fontId="30" fillId="0" borderId="1" xfId="0" applyNumberFormat="1" applyFont="1" applyBorder="1" applyAlignment="1" applyProtection="1">
      <alignment vertical="center"/>
      <protection locked="0"/>
    </xf>
    <xf numFmtId="44" fontId="30" fillId="0" borderId="1" xfId="15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/>
    </xf>
    <xf numFmtId="0" fontId="28" fillId="0" borderId="11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/>
      <protection locked="0"/>
    </xf>
    <xf numFmtId="164" fontId="25" fillId="0" borderId="0" xfId="0" applyNumberFormat="1" applyFont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164" fontId="25" fillId="0" borderId="4" xfId="0" applyNumberFormat="1" applyFont="1" applyBorder="1" applyAlignment="1" applyProtection="1">
      <alignment vertical="center"/>
      <protection/>
    </xf>
    <xf numFmtId="0" fontId="16" fillId="0" borderId="0" xfId="16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25" fillId="0" borderId="0" xfId="15" applyFont="1" applyAlignment="1" applyProtection="1">
      <alignment/>
      <protection/>
    </xf>
    <xf numFmtId="0" fontId="2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/>
    </xf>
    <xf numFmtId="9" fontId="7" fillId="0" borderId="1" xfId="0" applyNumberFormat="1" applyFont="1" applyBorder="1" applyAlignment="1">
      <alignment/>
    </xf>
    <xf numFmtId="9" fontId="25" fillId="0" borderId="1" xfId="0" applyNumberFormat="1" applyFont="1" applyBorder="1" applyAlignment="1">
      <alignment horizontal="center" vertical="center"/>
    </xf>
    <xf numFmtId="0" fontId="16" fillId="0" borderId="0" xfId="16" applyFill="1" applyBorder="1" applyAlignment="1">
      <alignment horizontal="center" vertical="center"/>
    </xf>
    <xf numFmtId="164" fontId="40" fillId="0" borderId="1" xfId="0" applyNumberFormat="1" applyFont="1" applyBorder="1" applyAlignment="1" applyProtection="1">
      <alignment/>
      <protection locked="0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1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/>
      <protection locked="0"/>
    </xf>
    <xf numFmtId="8" fontId="7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44" fontId="7" fillId="0" borderId="1" xfId="15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6" fillId="0" borderId="0" xfId="16" applyFill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16" applyFill="1" applyAlignment="1" applyProtection="1">
      <alignment horizontal="center"/>
      <protection locked="0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6" fillId="0" borderId="0" xfId="16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6" fillId="0" borderId="30" xfId="0" applyFont="1" applyFill="1" applyBorder="1" applyAlignment="1" applyProtection="1">
      <alignment horizontal="center"/>
      <protection locked="0"/>
    </xf>
    <xf numFmtId="0" fontId="36" fillId="0" borderId="39" xfId="0" applyFont="1" applyFill="1" applyBorder="1" applyAlignment="1" applyProtection="1">
      <alignment horizontal="center"/>
      <protection locked="0"/>
    </xf>
    <xf numFmtId="0" fontId="36" fillId="0" borderId="31" xfId="0" applyFont="1" applyFill="1" applyBorder="1" applyAlignment="1" applyProtection="1">
      <alignment horizontal="center"/>
      <protection locked="0"/>
    </xf>
    <xf numFmtId="0" fontId="36" fillId="0" borderId="40" xfId="0" applyFont="1" applyFill="1" applyBorder="1" applyAlignment="1" applyProtection="1">
      <alignment horizontal="center"/>
      <protection locked="0"/>
    </xf>
    <xf numFmtId="0" fontId="36" fillId="0" borderId="41" xfId="0" applyFont="1" applyFill="1" applyBorder="1" applyAlignment="1" applyProtection="1">
      <alignment horizontal="center"/>
      <protection locked="0"/>
    </xf>
    <xf numFmtId="0" fontId="36" fillId="0" borderId="42" xfId="0" applyFont="1" applyFill="1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6" borderId="55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25" fillId="6" borderId="24" xfId="0" applyFont="1" applyFill="1" applyBorder="1" applyAlignment="1">
      <alignment horizontal="center" vertical="center"/>
    </xf>
    <xf numFmtId="0" fontId="25" fillId="6" borderId="5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wrapText="1"/>
    </xf>
    <xf numFmtId="0" fontId="0" fillId="0" borderId="60" xfId="0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44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5" fillId="0" borderId="33" xfId="0" applyFont="1" applyBorder="1" applyAlignment="1" applyProtection="1">
      <alignment horizontal="right"/>
      <protection locked="0"/>
    </xf>
    <xf numFmtId="0" fontId="25" fillId="0" borderId="12" xfId="0" applyFont="1" applyBorder="1" applyAlignment="1" applyProtection="1">
      <alignment horizontal="right"/>
      <protection locked="0"/>
    </xf>
    <xf numFmtId="0" fontId="28" fillId="0" borderId="33" xfId="0" applyFont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right"/>
      <protection locked="0"/>
    </xf>
    <xf numFmtId="0" fontId="13" fillId="3" borderId="6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7" borderId="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5" borderId="62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0" fontId="29" fillId="9" borderId="51" xfId="0" applyFont="1" applyFill="1" applyBorder="1" applyAlignment="1">
      <alignment horizontal="center" vertical="center"/>
    </xf>
    <xf numFmtId="0" fontId="29" fillId="9" borderId="24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9" fillId="9" borderId="50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3" fillId="10" borderId="44" xfId="0" applyFont="1" applyFill="1" applyBorder="1" applyAlignment="1">
      <alignment horizontal="center" vertical="center"/>
    </xf>
    <xf numFmtId="0" fontId="23" fillId="10" borderId="51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64" fontId="7" fillId="0" borderId="6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 wrapText="1"/>
    </xf>
    <xf numFmtId="0" fontId="2" fillId="6" borderId="63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ESTRUCTURA DE COSTES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1" i="0" u="none" baseline="0">
                        <a:latin typeface="Arial"/>
                        <a:ea typeface="Arial"/>
                        <a:cs typeface="Arial"/>
                      </a:rPr>
                      <a:t>SUMINIS-TROS 39%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1" i="0" u="none" baseline="0">
                        <a:latin typeface="Arial"/>
                        <a:ea typeface="Arial"/>
                        <a:cs typeface="Arial"/>
                      </a:rPr>
                      <a:t>MANTENI-MIENTO 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1" i="0" u="none" baseline="0">
                        <a:latin typeface="Arial"/>
                        <a:ea typeface="Arial"/>
                        <a:cs typeface="Arial"/>
                      </a:rPr>
                      <a:t>INDIREC-TOS 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PPTO!$B$35:$B$38</c:f>
              <c:strCache>
                <c:ptCount val="4"/>
                <c:pt idx="0">
                  <c:v>MANO DE OBRA</c:v>
                </c:pt>
                <c:pt idx="1">
                  <c:v>SUMINISTROS</c:v>
                </c:pt>
                <c:pt idx="2">
                  <c:v>MANTENIMIENTO</c:v>
                </c:pt>
                <c:pt idx="3">
                  <c:v>INDIRECTOS</c:v>
                </c:pt>
              </c:strCache>
            </c:strRef>
          </c:cat>
          <c:val>
            <c:numRef>
              <c:f>PPTO!$E$35:$E$38</c:f>
              <c:numCache>
                <c:ptCount val="4"/>
                <c:pt idx="0">
                  <c:v>366600</c:v>
                </c:pt>
                <c:pt idx="1">
                  <c:v>304907.20294</c:v>
                </c:pt>
                <c:pt idx="2">
                  <c:v>54561.32645833334</c:v>
                </c:pt>
                <c:pt idx="3">
                  <c:v>47831.64053405679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35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Relationship Id="rId2" Type="http://schemas.openxmlformats.org/officeDocument/2006/relationships/chart" Target="/xl/charts/chart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34</xdr:row>
      <xdr:rowOff>104775</xdr:rowOff>
    </xdr:from>
    <xdr:to>
      <xdr:col>7</xdr:col>
      <xdr:colOff>9525</xdr:colOff>
      <xdr:row>49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753225"/>
          <a:ext cx="2581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104775</xdr:rowOff>
    </xdr:from>
    <xdr:to>
      <xdr:col>2</xdr:col>
      <xdr:colOff>228600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009900" y="600075"/>
          <a:ext cx="628650" cy="18097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104775</xdr:rowOff>
    </xdr:from>
    <xdr:to>
      <xdr:col>3</xdr:col>
      <xdr:colOff>619125</xdr:colOff>
      <xdr:row>4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667000" y="600075"/>
          <a:ext cx="581025" cy="18097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4</xdr:row>
      <xdr:rowOff>0</xdr:rowOff>
    </xdr:from>
    <xdr:to>
      <xdr:col>2</xdr:col>
      <xdr:colOff>866775</xdr:colOff>
      <xdr:row>5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152650" y="657225"/>
          <a:ext cx="561975" cy="29527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44</xdr:row>
      <xdr:rowOff>19050</xdr:rowOff>
    </xdr:from>
    <xdr:to>
      <xdr:col>5</xdr:col>
      <xdr:colOff>847725</xdr:colOff>
      <xdr:row>58</xdr:row>
      <xdr:rowOff>95250</xdr:rowOff>
    </xdr:to>
    <xdr:graphicFrame>
      <xdr:nvGraphicFramePr>
        <xdr:cNvPr id="2" name="Chart 7"/>
        <xdr:cNvGraphicFramePr/>
      </xdr:nvGraphicFramePr>
      <xdr:xfrm>
        <a:off x="476250" y="7543800"/>
        <a:ext cx="5591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114300</xdr:rowOff>
    </xdr:from>
    <xdr:to>
      <xdr:col>2</xdr:col>
      <xdr:colOff>666750</xdr:colOff>
      <xdr:row>6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514475" y="609600"/>
          <a:ext cx="647700" cy="60007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4</xdr:row>
      <xdr:rowOff>0</xdr:rowOff>
    </xdr:from>
    <xdr:to>
      <xdr:col>2</xdr:col>
      <xdr:colOff>942975</xdr:colOff>
      <xdr:row>5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333625" y="762000"/>
          <a:ext cx="561975" cy="266700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142875</xdr:colOff>
      <xdr:row>23</xdr:row>
      <xdr:rowOff>123825</xdr:rowOff>
    </xdr:from>
    <xdr:to>
      <xdr:col>5</xdr:col>
      <xdr:colOff>733425</xdr:colOff>
      <xdr:row>35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4171950"/>
          <a:ext cx="15144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142875</xdr:rowOff>
    </xdr:from>
    <xdr:to>
      <xdr:col>2</xdr:col>
      <xdr:colOff>638175</xdr:colOff>
      <xdr:row>4</xdr:row>
      <xdr:rowOff>142875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505075" y="638175"/>
          <a:ext cx="561975" cy="16192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133350</xdr:rowOff>
    </xdr:from>
    <xdr:to>
      <xdr:col>2</xdr:col>
      <xdr:colOff>609600</xdr:colOff>
      <xdr:row>4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762125" y="628650"/>
          <a:ext cx="561975" cy="266700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85725</xdr:rowOff>
    </xdr:from>
    <xdr:to>
      <xdr:col>2</xdr:col>
      <xdr:colOff>533400</xdr:colOff>
      <xdr:row>4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019300" y="581025"/>
          <a:ext cx="571500" cy="16192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76200</xdr:rowOff>
    </xdr:from>
    <xdr:to>
      <xdr:col>2</xdr:col>
      <xdr:colOff>142875</xdr:colOff>
      <xdr:row>4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524125" y="571500"/>
          <a:ext cx="666750" cy="16192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209550</xdr:rowOff>
    </xdr:from>
    <xdr:to>
      <xdr:col>2</xdr:col>
      <xdr:colOff>866775</xdr:colOff>
      <xdr:row>3</xdr:row>
      <xdr:rowOff>95250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057400" y="800100"/>
          <a:ext cx="609600" cy="18097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4</xdr:row>
      <xdr:rowOff>95250</xdr:rowOff>
    </xdr:from>
    <xdr:to>
      <xdr:col>3</xdr:col>
      <xdr:colOff>323850</xdr:colOff>
      <xdr:row>5</xdr:row>
      <xdr:rowOff>85725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362075" y="752475"/>
          <a:ext cx="733425" cy="257175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19050</xdr:rowOff>
    </xdr:from>
    <xdr:to>
      <xdr:col>2</xdr:col>
      <xdr:colOff>571500</xdr:colOff>
      <xdr:row>4</xdr:row>
      <xdr:rowOff>19050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257425" y="752475"/>
          <a:ext cx="561975" cy="266700"/>
        </a:xfrm>
        <a:prstGeom prst="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selection activeCell="C11" sqref="C11:F11"/>
    </sheetView>
  </sheetViews>
  <sheetFormatPr defaultColWidth="11.421875" defaultRowHeight="12.75"/>
  <cols>
    <col min="1" max="1" width="8.8515625" style="0" customWidth="1"/>
    <col min="2" max="2" width="24.57421875" style="0" customWidth="1"/>
    <col min="3" max="3" width="11.57421875" style="0" customWidth="1"/>
    <col min="4" max="4" width="15.57421875" style="0" customWidth="1"/>
    <col min="5" max="5" width="15.00390625" style="0" customWidth="1"/>
    <col min="6" max="6" width="12.28125" style="0" customWidth="1"/>
  </cols>
  <sheetData>
    <row r="1" spans="1:6" ht="12.75" customHeight="1">
      <c r="A1" s="309" t="s">
        <v>42</v>
      </c>
      <c r="B1" s="310"/>
      <c r="C1" s="310"/>
      <c r="D1" s="310"/>
      <c r="E1" s="310"/>
      <c r="F1" s="311"/>
    </row>
    <row r="2" spans="1:7" ht="12.75">
      <c r="A2" s="312"/>
      <c r="B2" s="313"/>
      <c r="C2" s="313"/>
      <c r="D2" s="313"/>
      <c r="E2" s="313"/>
      <c r="F2" s="314"/>
      <c r="G2" s="109" t="s">
        <v>387</v>
      </c>
    </row>
    <row r="3" spans="1:7" ht="12.75">
      <c r="A3" s="312"/>
      <c r="B3" s="313"/>
      <c r="C3" s="313"/>
      <c r="D3" s="313"/>
      <c r="E3" s="313"/>
      <c r="F3" s="314"/>
      <c r="G3" s="110" t="s">
        <v>388</v>
      </c>
    </row>
    <row r="4" spans="1:7" ht="13.5" thickBot="1">
      <c r="A4" s="315"/>
      <c r="B4" s="316"/>
      <c r="C4" s="316"/>
      <c r="D4" s="316"/>
      <c r="E4" s="316"/>
      <c r="F4" s="317"/>
      <c r="G4" s="111" t="s">
        <v>389</v>
      </c>
    </row>
    <row r="5" ht="13.5" thickBot="1"/>
    <row r="6" spans="2:11" ht="21" thickBot="1">
      <c r="B6" s="291" t="s">
        <v>79</v>
      </c>
      <c r="C6" s="292"/>
      <c r="D6" s="293"/>
      <c r="E6" s="351" t="s">
        <v>583</v>
      </c>
      <c r="F6" s="351"/>
      <c r="G6" s="351"/>
      <c r="H6" s="6"/>
      <c r="I6" s="284" t="s">
        <v>78</v>
      </c>
      <c r="J6" s="284"/>
      <c r="K6" s="158"/>
    </row>
    <row r="7" spans="2:7" ht="21" thickBot="1">
      <c r="B7" s="183"/>
      <c r="C7" s="183"/>
      <c r="D7" s="183"/>
      <c r="E7" s="351"/>
      <c r="F7" s="351"/>
      <c r="G7" s="351"/>
    </row>
    <row r="8" spans="2:11" ht="16.5" thickBot="1">
      <c r="B8" s="184" t="s">
        <v>522</v>
      </c>
      <c r="C8" s="288" t="s">
        <v>582</v>
      </c>
      <c r="D8" s="289"/>
      <c r="E8" s="289"/>
      <c r="F8" s="290"/>
      <c r="I8" s="283" t="s">
        <v>70</v>
      </c>
      <c r="J8" s="283"/>
      <c r="K8" s="24"/>
    </row>
    <row r="9" spans="2:11" ht="16.5" thickBot="1">
      <c r="B9" s="185" t="s">
        <v>523</v>
      </c>
      <c r="C9" s="285" t="s">
        <v>576</v>
      </c>
      <c r="D9" s="286"/>
      <c r="E9" s="286"/>
      <c r="F9" s="287"/>
      <c r="I9" s="283" t="s">
        <v>71</v>
      </c>
      <c r="J9" s="283"/>
      <c r="K9" s="24"/>
    </row>
    <row r="10" spans="2:11" ht="16.5" thickBot="1">
      <c r="B10" s="185" t="s">
        <v>524</v>
      </c>
      <c r="C10" s="285" t="s">
        <v>584</v>
      </c>
      <c r="D10" s="286"/>
      <c r="E10" s="286"/>
      <c r="F10" s="287"/>
      <c r="I10" s="283" t="s">
        <v>72</v>
      </c>
      <c r="J10" s="283"/>
      <c r="K10" s="24"/>
    </row>
    <row r="11" spans="2:11" ht="16.5" thickBot="1">
      <c r="B11" s="185" t="s">
        <v>560</v>
      </c>
      <c r="C11" s="285">
        <v>12</v>
      </c>
      <c r="D11" s="286"/>
      <c r="E11" s="286"/>
      <c r="F11" s="287"/>
      <c r="G11" t="s">
        <v>561</v>
      </c>
      <c r="I11" s="252"/>
      <c r="J11" s="252"/>
      <c r="K11" s="24"/>
    </row>
    <row r="12" spans="9:11" ht="14.25" customHeight="1" thickBot="1">
      <c r="I12" s="283" t="s">
        <v>73</v>
      </c>
      <c r="J12" s="283"/>
      <c r="K12" s="24"/>
    </row>
    <row r="13" spans="1:11" ht="21" customHeight="1" thickBot="1">
      <c r="A13" s="318" t="s">
        <v>87</v>
      </c>
      <c r="B13" s="319"/>
      <c r="C13" s="14"/>
      <c r="E13" s="14"/>
      <c r="F13" s="5"/>
      <c r="I13" s="283" t="s">
        <v>74</v>
      </c>
      <c r="J13" s="283"/>
      <c r="K13" s="24"/>
    </row>
    <row r="14" spans="1:11" ht="15" customHeight="1">
      <c r="A14" s="263" t="s">
        <v>4</v>
      </c>
      <c r="B14" s="264"/>
      <c r="C14" s="194">
        <v>6000</v>
      </c>
      <c r="D14" s="263" t="s">
        <v>502</v>
      </c>
      <c r="E14" s="264"/>
      <c r="F14" s="77">
        <f>ROUND(C14*100/C15,0)</f>
        <v>24000</v>
      </c>
      <c r="I14" s="283" t="s">
        <v>75</v>
      </c>
      <c r="J14" s="283"/>
      <c r="K14" s="24"/>
    </row>
    <row r="15" spans="1:11" ht="15" customHeight="1">
      <c r="A15" s="298" t="s">
        <v>2</v>
      </c>
      <c r="B15" s="281"/>
      <c r="C15" s="195">
        <v>25</v>
      </c>
      <c r="D15" s="298" t="s">
        <v>207</v>
      </c>
      <c r="E15" s="281"/>
      <c r="F15" s="78">
        <f>F14-C14</f>
        <v>18000</v>
      </c>
      <c r="I15" s="283" t="s">
        <v>76</v>
      </c>
      <c r="J15" s="283"/>
      <c r="K15" s="24"/>
    </row>
    <row r="16" spans="1:11" ht="15" customHeight="1">
      <c r="A16" s="298" t="s">
        <v>3</v>
      </c>
      <c r="B16" s="281"/>
      <c r="C16" s="195">
        <v>15</v>
      </c>
      <c r="D16" s="298" t="s">
        <v>249</v>
      </c>
      <c r="E16" s="281"/>
      <c r="F16" s="195">
        <v>25</v>
      </c>
      <c r="I16" s="283" t="s">
        <v>77</v>
      </c>
      <c r="J16" s="283"/>
      <c r="K16" s="24"/>
    </row>
    <row r="17" spans="1:11" ht="15" customHeight="1">
      <c r="A17" s="298" t="s">
        <v>250</v>
      </c>
      <c r="B17" s="281"/>
      <c r="C17" s="78">
        <f>ROUND(POWER(2*F14*C16*TAN(F16*PI()/180)/F17,0.5),1)</f>
        <v>45.8</v>
      </c>
      <c r="D17" s="298" t="s">
        <v>286</v>
      </c>
      <c r="E17" s="281"/>
      <c r="F17" s="195">
        <v>160</v>
      </c>
      <c r="I17" s="283" t="s">
        <v>380</v>
      </c>
      <c r="J17" s="283"/>
      <c r="K17" s="24"/>
    </row>
    <row r="18" spans="1:11" ht="15" customHeight="1">
      <c r="A18" s="282" t="s">
        <v>248</v>
      </c>
      <c r="B18" s="279"/>
      <c r="C18" s="76">
        <f>ROUND(C17*F17/TAN(F16*PI()/180)/10000,2)</f>
        <v>1.57</v>
      </c>
      <c r="D18" s="282" t="s">
        <v>285</v>
      </c>
      <c r="E18" s="279"/>
      <c r="F18" s="76">
        <f>F17</f>
        <v>160</v>
      </c>
      <c r="I18" s="283" t="s">
        <v>381</v>
      </c>
      <c r="J18" s="283"/>
      <c r="K18" s="24"/>
    </row>
    <row r="19" spans="1:11" ht="15" customHeight="1" thickBot="1">
      <c r="A19" s="298" t="s">
        <v>287</v>
      </c>
      <c r="B19" s="281"/>
      <c r="C19" s="76">
        <f>F17</f>
        <v>160</v>
      </c>
      <c r="D19" s="298" t="s">
        <v>385</v>
      </c>
      <c r="E19" s="281"/>
      <c r="F19" s="195">
        <v>9</v>
      </c>
      <c r="G19" t="s">
        <v>390</v>
      </c>
      <c r="I19" s="274" t="s">
        <v>382</v>
      </c>
      <c r="J19" s="274"/>
      <c r="K19" s="24"/>
    </row>
    <row r="20" spans="1:11" ht="15" customHeight="1" thickBot="1">
      <c r="A20" s="270" t="s">
        <v>444</v>
      </c>
      <c r="B20" s="271"/>
      <c r="C20" s="248">
        <v>197</v>
      </c>
      <c r="D20" s="270" t="s">
        <v>386</v>
      </c>
      <c r="E20" s="271"/>
      <c r="F20" s="247">
        <v>0</v>
      </c>
      <c r="G20" s="79">
        <f>IF(F20&lt;1,IF(ROUNDDOWN(F19/7,0)=0,1,ROUNDDOWN(F19/7,0)),F20)</f>
        <v>1</v>
      </c>
      <c r="I20" s="276" t="s">
        <v>547</v>
      </c>
      <c r="J20" s="276"/>
      <c r="K20" s="24"/>
    </row>
    <row r="21" spans="1:11" ht="15" customHeight="1" thickBot="1">
      <c r="A21" s="277" t="s">
        <v>550</v>
      </c>
      <c r="B21" s="277"/>
      <c r="C21" s="277"/>
      <c r="D21" s="277"/>
      <c r="E21" s="196">
        <v>3</v>
      </c>
      <c r="F21" s="245"/>
      <c r="G21" s="246"/>
      <c r="I21" s="238"/>
      <c r="J21" s="238"/>
      <c r="K21" s="24"/>
    </row>
    <row r="22" ht="15" customHeight="1" thickBot="1"/>
    <row r="23" spans="1:2" ht="15" customHeight="1" thickBot="1">
      <c r="A23" s="338" t="s">
        <v>235</v>
      </c>
      <c r="B23" s="339"/>
    </row>
    <row r="24" spans="1:5" ht="15" customHeight="1" thickBot="1">
      <c r="A24" s="300" t="s">
        <v>215</v>
      </c>
      <c r="B24" s="301"/>
      <c r="C24" s="197">
        <v>8</v>
      </c>
      <c r="D24" s="275"/>
      <c r="E24" s="336"/>
    </row>
    <row r="25" spans="1:6" ht="15" customHeight="1" thickBot="1">
      <c r="A25" s="278" t="s">
        <v>216</v>
      </c>
      <c r="B25" s="269"/>
      <c r="C25" s="198">
        <v>10</v>
      </c>
      <c r="D25" s="266" t="s">
        <v>241</v>
      </c>
      <c r="E25" s="267"/>
      <c r="F25" s="86">
        <f>C24*C25*C26</f>
        <v>128</v>
      </c>
    </row>
    <row r="26" spans="1:6" ht="15" customHeight="1" thickBot="1">
      <c r="A26" s="272" t="s">
        <v>217</v>
      </c>
      <c r="B26" s="273"/>
      <c r="C26" s="199">
        <v>1.6</v>
      </c>
      <c r="D26" s="275"/>
      <c r="E26" s="275"/>
      <c r="F26" s="5"/>
    </row>
    <row r="27" spans="1:6" ht="15" customHeight="1">
      <c r="A27" s="337"/>
      <c r="B27" s="337"/>
      <c r="C27" s="5"/>
      <c r="D27" s="8"/>
      <c r="E27" s="8"/>
      <c r="F27" s="5"/>
    </row>
    <row r="28" spans="1:11" ht="15" customHeight="1">
      <c r="A28" s="8"/>
      <c r="B28" s="8"/>
      <c r="C28" s="5"/>
      <c r="D28" s="8"/>
      <c r="E28" s="8"/>
      <c r="F28" s="5"/>
      <c r="K28" s="24"/>
    </row>
    <row r="29" spans="1:11" ht="15" customHeight="1" thickBot="1">
      <c r="A29" s="8"/>
      <c r="B29" s="8"/>
      <c r="C29" s="5"/>
      <c r="D29" s="8"/>
      <c r="E29" s="8"/>
      <c r="F29" s="5"/>
      <c r="K29" s="24"/>
    </row>
    <row r="30" spans="1:11" ht="15" customHeight="1" thickBot="1">
      <c r="A30" s="338" t="s">
        <v>234</v>
      </c>
      <c r="B30" s="339"/>
      <c r="D30" s="8"/>
      <c r="E30" s="8"/>
      <c r="F30" s="5"/>
      <c r="K30" s="24"/>
    </row>
    <row r="31" spans="1:11" ht="15" customHeight="1" thickBot="1">
      <c r="A31" s="340" t="s">
        <v>236</v>
      </c>
      <c r="B31" s="341"/>
      <c r="C31" s="200">
        <v>1.5</v>
      </c>
      <c r="D31" s="303" t="s">
        <v>239</v>
      </c>
      <c r="E31" s="304"/>
      <c r="F31" s="86">
        <f>C31*C32*C33</f>
        <v>5.625</v>
      </c>
      <c r="K31" s="24"/>
    </row>
    <row r="32" spans="1:11" ht="15" customHeight="1" thickBot="1">
      <c r="A32" s="266" t="s">
        <v>237</v>
      </c>
      <c r="B32" s="267"/>
      <c r="C32" s="201">
        <v>2.5</v>
      </c>
      <c r="D32" s="302" t="s">
        <v>240</v>
      </c>
      <c r="E32" s="267"/>
      <c r="F32" s="86">
        <f>2.7*F31</f>
        <v>15.187500000000002</v>
      </c>
      <c r="K32" s="24"/>
    </row>
    <row r="33" spans="1:11" ht="15" customHeight="1" thickBot="1">
      <c r="A33" s="334" t="s">
        <v>238</v>
      </c>
      <c r="B33" s="335"/>
      <c r="C33" s="201">
        <v>1.5</v>
      </c>
      <c r="D33" s="266" t="s">
        <v>503</v>
      </c>
      <c r="E33" s="267"/>
      <c r="F33" s="87">
        <f>ROUNDUP(C14/F31,0)</f>
        <v>1067</v>
      </c>
      <c r="K33" s="24"/>
    </row>
    <row r="34" spans="1:11" ht="15" customHeight="1" thickBot="1">
      <c r="A34" s="8"/>
      <c r="B34" s="8"/>
      <c r="C34" s="5"/>
      <c r="D34" s="266" t="s">
        <v>504</v>
      </c>
      <c r="E34" s="267"/>
      <c r="F34" s="87">
        <f>F33*1.5</f>
        <v>1600.5</v>
      </c>
      <c r="K34" s="24"/>
    </row>
    <row r="35" spans="1:11" ht="15" customHeight="1">
      <c r="A35" s="8"/>
      <c r="B35" s="8"/>
      <c r="C35" s="5"/>
      <c r="D35" s="8"/>
      <c r="E35" s="8"/>
      <c r="F35" s="5"/>
      <c r="K35" s="24"/>
    </row>
    <row r="36" ht="12" customHeight="1" thickBot="1">
      <c r="K36" s="24"/>
    </row>
    <row r="37" spans="1:11" ht="19.5" customHeight="1" thickBot="1">
      <c r="A37" s="268" t="s">
        <v>86</v>
      </c>
      <c r="B37" s="299"/>
      <c r="C37" s="25"/>
      <c r="E37" s="25"/>
      <c r="G37" s="265"/>
      <c r="H37" s="265"/>
      <c r="I37" s="5"/>
      <c r="K37" s="24"/>
    </row>
    <row r="38" spans="1:11" ht="19.5" customHeight="1" thickBot="1">
      <c r="A38" s="294" t="s">
        <v>507</v>
      </c>
      <c r="B38" s="280"/>
      <c r="C38" s="202" t="s">
        <v>568</v>
      </c>
      <c r="E38" s="25"/>
      <c r="G38" s="4"/>
      <c r="H38" s="4"/>
      <c r="I38" s="5"/>
      <c r="K38" s="24"/>
    </row>
    <row r="39" spans="1:11" ht="19.5" customHeight="1" thickBot="1">
      <c r="A39" s="294" t="s">
        <v>508</v>
      </c>
      <c r="B39" s="295"/>
      <c r="C39" s="79" t="str">
        <f>IF(C38="S","N","S")</f>
        <v>N</v>
      </c>
      <c r="E39" s="25"/>
      <c r="G39" s="4"/>
      <c r="H39" s="4"/>
      <c r="I39" s="5"/>
      <c r="K39" s="24"/>
    </row>
    <row r="40" spans="1:11" ht="15" customHeight="1" thickBot="1">
      <c r="A40" s="329" t="s">
        <v>298</v>
      </c>
      <c r="B40" s="330"/>
      <c r="C40" s="203">
        <v>2</v>
      </c>
      <c r="E40" s="25"/>
      <c r="K40" s="24"/>
    </row>
    <row r="41" spans="1:11" ht="15" customHeight="1" thickBot="1">
      <c r="A41" s="320" t="s">
        <v>391</v>
      </c>
      <c r="B41" s="321"/>
      <c r="C41" s="85">
        <f>F15*(2.7/C40)</f>
        <v>24300</v>
      </c>
      <c r="E41" s="25"/>
      <c r="G41" s="265"/>
      <c r="H41" s="265"/>
      <c r="I41" s="5"/>
      <c r="K41" s="24"/>
    </row>
    <row r="42" spans="1:11" ht="13.5" customHeight="1" thickBot="1">
      <c r="A42" s="320" t="s">
        <v>392</v>
      </c>
      <c r="B42" s="321"/>
      <c r="C42" s="85">
        <f>C41*C16</f>
        <v>364500</v>
      </c>
      <c r="E42" s="25"/>
      <c r="G42" s="4"/>
      <c r="H42" s="4"/>
      <c r="I42" s="5"/>
      <c r="K42" s="24"/>
    </row>
    <row r="43" spans="1:11" ht="15" customHeight="1" thickBot="1">
      <c r="A43" s="296" t="s">
        <v>394</v>
      </c>
      <c r="B43" s="297"/>
      <c r="C43" s="85">
        <f>ROUND(POWER(2*C42/(C47*(1/TAN(C45*PI()/180)-1/TAN(C46*PI()/180))),0.5),1)</f>
        <v>35.1</v>
      </c>
      <c r="E43" s="8"/>
      <c r="K43" s="24"/>
    </row>
    <row r="44" spans="1:11" ht="15" customHeight="1" thickBot="1">
      <c r="A44" s="296" t="s">
        <v>509</v>
      </c>
      <c r="B44" s="297"/>
      <c r="C44" s="85">
        <f>ROUND(C43/TAN(C45*PI()/180),1)</f>
        <v>165.1</v>
      </c>
      <c r="E44" s="8"/>
      <c r="K44" s="24"/>
    </row>
    <row r="45" spans="1:11" ht="15" customHeight="1" thickBot="1">
      <c r="A45" s="329" t="s">
        <v>395</v>
      </c>
      <c r="B45" s="330"/>
      <c r="C45" s="204">
        <v>12</v>
      </c>
      <c r="K45" s="24"/>
    </row>
    <row r="46" spans="1:3" ht="15" customHeight="1" thickBot="1">
      <c r="A46" s="307" t="s">
        <v>396</v>
      </c>
      <c r="B46" s="308"/>
      <c r="C46" s="205">
        <v>45</v>
      </c>
    </row>
    <row r="47" spans="1:4" ht="15" customHeight="1" thickBot="1">
      <c r="A47" s="307" t="s">
        <v>393</v>
      </c>
      <c r="B47" s="308"/>
      <c r="C47" s="180">
        <f>IF(C38="s",F17,ROUND(60*POWER(D52,0.5),1))</f>
        <v>160</v>
      </c>
      <c r="D47" s="113"/>
    </row>
    <row r="48" spans="1:3" ht="15" customHeight="1" thickBot="1">
      <c r="A48" s="305" t="s">
        <v>293</v>
      </c>
      <c r="B48" s="306"/>
      <c r="C48" s="179">
        <f>ROUND(C41*C40/Maqui!B58,0)</f>
        <v>1944</v>
      </c>
    </row>
    <row r="49" spans="1:4" ht="15" customHeight="1" thickBot="1">
      <c r="A49" s="305" t="s">
        <v>510</v>
      </c>
      <c r="B49" s="306"/>
      <c r="C49" s="206">
        <v>200</v>
      </c>
      <c r="D49" s="87">
        <f>IF(C38="s",C19,C49)</f>
        <v>160</v>
      </c>
    </row>
    <row r="50" ht="15" customHeight="1">
      <c r="E50" s="8"/>
    </row>
    <row r="51" spans="4:5" ht="15" customHeight="1" thickBot="1">
      <c r="D51" t="s">
        <v>574</v>
      </c>
      <c r="E51" s="5"/>
    </row>
    <row r="52" spans="1:4" ht="15" customHeight="1" thickBot="1">
      <c r="A52" s="327" t="s">
        <v>28</v>
      </c>
      <c r="B52" s="328"/>
      <c r="C52" s="87">
        <f>IF(C38="s",IF(E55&lt;1,1,ROUND(E55,2)),0)</f>
        <v>2.64</v>
      </c>
      <c r="D52" s="201">
        <v>3</v>
      </c>
    </row>
    <row r="53" ht="15" customHeight="1"/>
    <row r="54" ht="15" customHeight="1" thickBot="1"/>
    <row r="55" spans="2:5" ht="15" customHeight="1">
      <c r="B55" s="325" t="s">
        <v>99</v>
      </c>
      <c r="C55" s="347" t="s">
        <v>27</v>
      </c>
      <c r="D55" s="347"/>
      <c r="E55" s="348">
        <f>(C43*C42)/(TAN(C45*PI()/180)*0.5*C43*C43*((1/TAN(C45*PI()/180)-1/TAN(C46*PI()/180))))/10000</f>
        <v>2.6375520778074515</v>
      </c>
    </row>
    <row r="56" spans="2:5" ht="13.5" customHeight="1" thickBot="1">
      <c r="B56" s="326"/>
      <c r="C56" s="324" t="s">
        <v>30</v>
      </c>
      <c r="D56" s="324"/>
      <c r="E56" s="349"/>
    </row>
    <row r="57" spans="5:7" ht="13.5" customHeight="1">
      <c r="E57" s="350"/>
      <c r="F57" s="350"/>
      <c r="G57" s="350"/>
    </row>
    <row r="58" spans="1:7" ht="13.5" customHeight="1" thickBot="1">
      <c r="A58" s="256" t="s">
        <v>572</v>
      </c>
      <c r="B58" s="67"/>
      <c r="C58" s="67"/>
      <c r="D58" s="67"/>
      <c r="E58" s="350"/>
      <c r="F58" s="350"/>
      <c r="G58" s="350"/>
    </row>
    <row r="59" spans="2:6" ht="21.75" customHeight="1" thickBot="1">
      <c r="B59" s="291" t="s">
        <v>206</v>
      </c>
      <c r="C59" s="292"/>
      <c r="D59" s="293"/>
      <c r="F59" s="23"/>
    </row>
    <row r="60" spans="5:7" ht="21" customHeight="1">
      <c r="E60" s="351" t="s">
        <v>583</v>
      </c>
      <c r="F60" s="351"/>
      <c r="G60" s="351"/>
    </row>
    <row r="61" spans="5:7" ht="21" customHeight="1">
      <c r="E61" s="351"/>
      <c r="F61" s="351"/>
      <c r="G61" s="351"/>
    </row>
    <row r="62" spans="1:6" ht="12.75" customHeight="1">
      <c r="A62" s="56"/>
      <c r="B62" s="331" t="s">
        <v>210</v>
      </c>
      <c r="C62" s="331"/>
      <c r="D62" s="331"/>
      <c r="F62" s="23"/>
    </row>
    <row r="63" spans="1:6" ht="12.75" customHeight="1">
      <c r="A63" s="56"/>
      <c r="B63" s="57"/>
      <c r="C63" s="23"/>
      <c r="F63" s="23"/>
    </row>
    <row r="64" spans="1:6" ht="15">
      <c r="A64" s="56"/>
      <c r="B64" s="332" t="s">
        <v>211</v>
      </c>
      <c r="C64" s="333"/>
      <c r="D64" s="192">
        <v>15</v>
      </c>
      <c r="F64" s="5"/>
    </row>
    <row r="65" spans="1:5" ht="12.75">
      <c r="A65" s="5"/>
      <c r="B65" s="322" t="s">
        <v>446</v>
      </c>
      <c r="C65" s="323"/>
      <c r="D65" s="192">
        <v>10</v>
      </c>
      <c r="E65" t="s">
        <v>569</v>
      </c>
    </row>
    <row r="66" spans="1:4" ht="12.75">
      <c r="A66" s="5"/>
      <c r="B66" s="322" t="s">
        <v>212</v>
      </c>
      <c r="C66" s="323"/>
      <c r="D66" s="82">
        <f>F15*D64/100</f>
        <v>2700</v>
      </c>
    </row>
    <row r="67" spans="2:4" ht="12.75">
      <c r="B67" s="322" t="s">
        <v>213</v>
      </c>
      <c r="C67" s="323"/>
      <c r="D67" s="82">
        <f>D66/D65</f>
        <v>270</v>
      </c>
    </row>
    <row r="68" spans="2:6" ht="12.75">
      <c r="B68" s="322" t="s">
        <v>208</v>
      </c>
      <c r="C68" s="323"/>
      <c r="D68" s="207">
        <v>0.12</v>
      </c>
      <c r="E68" s="352" t="s">
        <v>511</v>
      </c>
      <c r="F68" s="336"/>
    </row>
    <row r="69" spans="2:6" ht="12.75">
      <c r="B69" s="322" t="s">
        <v>209</v>
      </c>
      <c r="C69" s="323"/>
      <c r="D69" s="207">
        <v>0.12</v>
      </c>
      <c r="E69" s="352" t="s">
        <v>512</v>
      </c>
      <c r="F69" s="336"/>
    </row>
    <row r="70" spans="2:4" ht="12.75">
      <c r="B70" s="322" t="s">
        <v>226</v>
      </c>
      <c r="C70" s="323"/>
      <c r="D70" s="82">
        <f>D66*D68</f>
        <v>324</v>
      </c>
    </row>
    <row r="71" spans="2:4" ht="12.75">
      <c r="B71" s="322" t="s">
        <v>225</v>
      </c>
      <c r="C71" s="323"/>
      <c r="D71" s="82">
        <f>D66*D69</f>
        <v>324</v>
      </c>
    </row>
    <row r="73" ht="13.5" customHeight="1"/>
    <row r="74" spans="2:4" ht="15">
      <c r="B74" s="331" t="s">
        <v>214</v>
      </c>
      <c r="C74" s="331"/>
      <c r="D74" s="331"/>
    </row>
    <row r="76" spans="2:4" ht="12.75" customHeight="1">
      <c r="B76" s="322" t="s">
        <v>218</v>
      </c>
      <c r="C76" s="323"/>
      <c r="D76" s="82">
        <f>C24*C25*C26</f>
        <v>128</v>
      </c>
    </row>
    <row r="77" spans="2:4" ht="12.75" customHeight="1">
      <c r="B77" s="322" t="s">
        <v>228</v>
      </c>
      <c r="C77" s="323"/>
      <c r="D77" s="82">
        <f>C25*C26</f>
        <v>16</v>
      </c>
    </row>
    <row r="78" spans="2:4" ht="12.75" customHeight="1">
      <c r="B78" s="322" t="s">
        <v>229</v>
      </c>
      <c r="C78" s="323"/>
      <c r="D78" s="82">
        <f>2*C24*C26</f>
        <v>25.6</v>
      </c>
    </row>
    <row r="79" spans="2:4" ht="12.75" customHeight="1">
      <c r="B79" s="322" t="s">
        <v>230</v>
      </c>
      <c r="C79" s="323"/>
      <c r="D79" s="82">
        <f>C24*C25</f>
        <v>80</v>
      </c>
    </row>
    <row r="80" spans="2:4" ht="12.75" customHeight="1">
      <c r="B80" s="322" t="s">
        <v>231</v>
      </c>
      <c r="C80" s="323"/>
      <c r="D80" s="82">
        <f>2*C24</f>
        <v>16</v>
      </c>
    </row>
    <row r="81" spans="2:4" ht="12.75" customHeight="1">
      <c r="B81" s="322" t="s">
        <v>227</v>
      </c>
      <c r="C81" s="323"/>
      <c r="D81" s="82">
        <f>ROUND(D80/D76,3)</f>
        <v>0.125</v>
      </c>
    </row>
    <row r="82" spans="2:4" ht="12.75" customHeight="1">
      <c r="B82" s="322" t="s">
        <v>219</v>
      </c>
      <c r="C82" s="323"/>
      <c r="D82" s="82">
        <f>ROUND(D77/D76,3)</f>
        <v>0.125</v>
      </c>
    </row>
    <row r="83" spans="2:4" ht="12.75" customHeight="1">
      <c r="B83" s="322" t="s">
        <v>220</v>
      </c>
      <c r="C83" s="323"/>
      <c r="D83" s="82">
        <f>ROUND((D79+D78)/D76,3)</f>
        <v>0.825</v>
      </c>
    </row>
    <row r="84" spans="2:4" ht="12.75" customHeight="1">
      <c r="B84" s="322" t="s">
        <v>221</v>
      </c>
      <c r="C84" s="323"/>
      <c r="D84" s="82">
        <f>F14-D66</f>
        <v>21300</v>
      </c>
    </row>
    <row r="85" spans="2:4" ht="12.75" customHeight="1">
      <c r="B85" s="322" t="s">
        <v>233</v>
      </c>
      <c r="C85" s="323"/>
      <c r="D85" s="82">
        <f>ROUND(D84*D81,2)</f>
        <v>2662.5</v>
      </c>
    </row>
    <row r="86" spans="2:4" ht="12.75" customHeight="1">
      <c r="B86" s="322" t="s">
        <v>222</v>
      </c>
      <c r="C86" s="323"/>
      <c r="D86" s="82">
        <f>ROUND(D82*D84,1)</f>
        <v>2662.5</v>
      </c>
    </row>
    <row r="87" spans="2:4" ht="12.75" customHeight="1">
      <c r="B87" s="322" t="s">
        <v>223</v>
      </c>
      <c r="C87" s="323"/>
      <c r="D87" s="82">
        <f>D83*D84</f>
        <v>17572.5</v>
      </c>
    </row>
    <row r="88" ht="12.75" customHeight="1"/>
    <row r="90" spans="2:4" ht="15">
      <c r="B90" s="331" t="s">
        <v>232</v>
      </c>
      <c r="C90" s="331"/>
      <c r="D90" s="331"/>
    </row>
    <row r="91" ht="11.25" customHeight="1" thickBot="1"/>
    <row r="92" spans="2:4" ht="17.25" customHeight="1" thickBot="1">
      <c r="B92" s="327" t="s">
        <v>505</v>
      </c>
      <c r="C92" s="328"/>
      <c r="D92" s="202" t="s">
        <v>567</v>
      </c>
    </row>
    <row r="93" spans="2:4" ht="17.25" customHeight="1" thickBot="1">
      <c r="B93" s="327" t="s">
        <v>506</v>
      </c>
      <c r="C93" s="328"/>
      <c r="D93" s="79" t="str">
        <f>IF(D92="S","N","S")</f>
        <v>S</v>
      </c>
    </row>
    <row r="94" spans="2:4" ht="17.25" customHeight="1">
      <c r="B94" s="178"/>
      <c r="C94" s="178"/>
      <c r="D94" s="177"/>
    </row>
    <row r="95" spans="2:4" ht="12.75">
      <c r="B95" s="322" t="s">
        <v>242</v>
      </c>
      <c r="C95" s="323"/>
      <c r="D95" s="82">
        <f>IF(D92="S",2*(C31*C32)+2*(C31*C33),2*(C31*C32))</f>
        <v>7.5</v>
      </c>
    </row>
    <row r="96" spans="2:4" ht="12.75">
      <c r="B96" s="322" t="s">
        <v>243</v>
      </c>
      <c r="C96" s="323"/>
      <c r="D96" s="82">
        <f>IF(D92="S",0,2*(C31*C33))</f>
        <v>4.5</v>
      </c>
    </row>
    <row r="97" spans="2:4" ht="12.75">
      <c r="B97" s="322" t="s">
        <v>244</v>
      </c>
      <c r="C97" s="323"/>
      <c r="D97" s="82">
        <f>D95/F31</f>
        <v>1.3333333333333333</v>
      </c>
    </row>
    <row r="98" spans="2:4" ht="12.75">
      <c r="B98" s="322" t="s">
        <v>245</v>
      </c>
      <c r="C98" s="323"/>
      <c r="D98" s="82">
        <f>D96/F31</f>
        <v>0.8</v>
      </c>
    </row>
    <row r="99" spans="2:4" ht="12.75">
      <c r="B99" s="322" t="s">
        <v>246</v>
      </c>
      <c r="C99" s="323"/>
      <c r="D99" s="82">
        <f>C14</f>
        <v>6000</v>
      </c>
    </row>
    <row r="100" spans="2:4" ht="12.75">
      <c r="B100" s="322" t="s">
        <v>247</v>
      </c>
      <c r="C100" s="323"/>
      <c r="D100" s="82">
        <f>D97*D99</f>
        <v>8000</v>
      </c>
    </row>
    <row r="101" spans="2:4" ht="12.75">
      <c r="B101" s="322" t="s">
        <v>223</v>
      </c>
      <c r="C101" s="323"/>
      <c r="D101" s="82">
        <f>D98*D99</f>
        <v>4800</v>
      </c>
    </row>
    <row r="103" ht="13.5" customHeight="1"/>
    <row r="104" spans="2:4" ht="15">
      <c r="B104" s="331" t="s">
        <v>284</v>
      </c>
      <c r="C104" s="331"/>
      <c r="D104" s="331"/>
    </row>
    <row r="105" spans="2:4" ht="15">
      <c r="B105" s="58"/>
      <c r="C105" s="58"/>
      <c r="D105" s="58"/>
    </row>
    <row r="106" spans="2:4" ht="12.75">
      <c r="B106" s="342" t="s">
        <v>288</v>
      </c>
      <c r="C106" s="342"/>
      <c r="D106" s="207">
        <v>20</v>
      </c>
    </row>
    <row r="107" spans="2:5" ht="12.75">
      <c r="B107" s="342" t="s">
        <v>289</v>
      </c>
      <c r="C107" s="342"/>
      <c r="D107" s="207">
        <v>3</v>
      </c>
      <c r="E107" t="s">
        <v>224</v>
      </c>
    </row>
    <row r="108" spans="2:5" ht="12.75">
      <c r="B108" s="342" t="s">
        <v>290</v>
      </c>
      <c r="C108" s="342"/>
      <c r="D108" s="207">
        <v>4</v>
      </c>
      <c r="E108" t="s">
        <v>224</v>
      </c>
    </row>
    <row r="109" spans="2:4" ht="12.75">
      <c r="B109" s="342" t="s">
        <v>291</v>
      </c>
      <c r="C109" s="342"/>
      <c r="D109" s="82">
        <f>ROUND(((D107/60)+(2*F18/1000/D106))*F33,2)</f>
        <v>70.42</v>
      </c>
    </row>
    <row r="110" spans="2:4" ht="12.75">
      <c r="B110" s="342" t="s">
        <v>292</v>
      </c>
      <c r="C110" s="342"/>
      <c r="D110" s="82">
        <f>ROUND(((D108/60)+(2*D49/1000/D106))*C48,2)</f>
        <v>160.7</v>
      </c>
    </row>
    <row r="111" spans="2:4" ht="12.75">
      <c r="B111" s="342" t="s">
        <v>308</v>
      </c>
      <c r="C111" s="342"/>
      <c r="D111" s="82">
        <f>D109+D110</f>
        <v>231.12</v>
      </c>
    </row>
    <row r="112" spans="2:4" ht="12.75">
      <c r="B112" s="342" t="s">
        <v>296</v>
      </c>
      <c r="C112" s="342"/>
      <c r="D112" s="82">
        <f>ROUND(D111/220,2)</f>
        <v>1.05</v>
      </c>
    </row>
    <row r="113" spans="2:6" ht="12.75">
      <c r="B113" s="346" t="s">
        <v>297</v>
      </c>
      <c r="C113" s="346"/>
      <c r="D113" s="82">
        <f>ROUNDUP(D112/7,0)</f>
        <v>1</v>
      </c>
      <c r="E113" s="352" t="s">
        <v>484</v>
      </c>
      <c r="F113" s="336"/>
    </row>
    <row r="115" ht="12.75">
      <c r="A115" s="256" t="s">
        <v>572</v>
      </c>
    </row>
    <row r="117" spans="5:7" ht="21" customHeight="1">
      <c r="E117" s="351" t="s">
        <v>583</v>
      </c>
      <c r="F117" s="351"/>
      <c r="G117" s="351"/>
    </row>
    <row r="118" spans="2:7" ht="21" customHeight="1">
      <c r="B118" s="331" t="s">
        <v>305</v>
      </c>
      <c r="C118" s="331"/>
      <c r="D118" s="331"/>
      <c r="E118" s="351"/>
      <c r="F118" s="351"/>
      <c r="G118" s="351"/>
    </row>
    <row r="120" spans="2:5" ht="12.75">
      <c r="B120" s="342" t="s">
        <v>307</v>
      </c>
      <c r="C120" s="342"/>
      <c r="D120" s="207">
        <v>9</v>
      </c>
      <c r="E120" t="s">
        <v>485</v>
      </c>
    </row>
    <row r="121" spans="2:5" ht="12.75">
      <c r="B121" s="342" t="s">
        <v>487</v>
      </c>
      <c r="C121" s="342"/>
      <c r="D121" s="82">
        <f>IF(C11&lt;10,(C11/12)*220*D120,220*D120)</f>
        <v>1980</v>
      </c>
      <c r="E121" t="s">
        <v>571</v>
      </c>
    </row>
    <row r="122" spans="2:4" ht="12.75">
      <c r="B122" s="342" t="s">
        <v>486</v>
      </c>
      <c r="C122" s="342"/>
      <c r="D122" s="82">
        <f>D121*Maqui!C10</f>
        <v>3960</v>
      </c>
    </row>
    <row r="125" spans="2:4" ht="15">
      <c r="B125" s="331" t="s">
        <v>311</v>
      </c>
      <c r="C125" s="331"/>
      <c r="D125" s="331"/>
    </row>
    <row r="127" spans="2:5" ht="12.75">
      <c r="B127" s="343" t="s">
        <v>322</v>
      </c>
      <c r="C127" s="343"/>
      <c r="D127" s="208">
        <v>1</v>
      </c>
      <c r="E127" s="10"/>
    </row>
    <row r="128" spans="2:5" ht="12.75">
      <c r="B128" s="343" t="s">
        <v>334</v>
      </c>
      <c r="C128" s="343"/>
      <c r="D128" s="89">
        <f>ROUNDUP(D71/10,0)</f>
        <v>33</v>
      </c>
      <c r="E128" s="10"/>
    </row>
    <row r="129" spans="2:5" ht="12.75">
      <c r="B129" s="343" t="s">
        <v>335</v>
      </c>
      <c r="C129" s="343"/>
      <c r="D129" s="89">
        <f>ROUNDUP(D85/C24,0)</f>
        <v>333</v>
      </c>
      <c r="E129" s="10"/>
    </row>
    <row r="130" spans="2:6" ht="12.75">
      <c r="B130" s="332" t="s">
        <v>336</v>
      </c>
      <c r="C130" s="333"/>
      <c r="D130" s="89">
        <f>ROUNDUP(220*F17*4/30/60+2*(D128+D129)/60,0)</f>
        <v>91</v>
      </c>
      <c r="E130" s="10" t="s">
        <v>488</v>
      </c>
      <c r="F130" t="s">
        <v>513</v>
      </c>
    </row>
    <row r="131" spans="2:5" ht="12.75">
      <c r="B131" s="344" t="s">
        <v>337</v>
      </c>
      <c r="C131" s="344"/>
      <c r="D131" s="89">
        <f>ROUNDUP((D71+D85)/D127/60,0)</f>
        <v>50</v>
      </c>
      <c r="E131" s="10" t="s">
        <v>463</v>
      </c>
    </row>
    <row r="132" spans="2:5" ht="12.75">
      <c r="B132" s="345" t="s">
        <v>333</v>
      </c>
      <c r="C132" s="345"/>
      <c r="D132" s="89">
        <f>D130+D131</f>
        <v>141</v>
      </c>
      <c r="E132" s="10"/>
    </row>
    <row r="134" ht="12.75">
      <c r="A134" s="256" t="s">
        <v>572</v>
      </c>
    </row>
  </sheetData>
  <sheetProtection password="FAC7" sheet="1" objects="1" scenarios="1" selectLockedCells="1"/>
  <protectedRanges>
    <protectedRange sqref="I37:I39" name="Rango1_1"/>
  </protectedRanges>
  <mergeCells count="131">
    <mergeCell ref="E57:G58"/>
    <mergeCell ref="E6:G7"/>
    <mergeCell ref="E60:G61"/>
    <mergeCell ref="E117:G118"/>
    <mergeCell ref="E113:F113"/>
    <mergeCell ref="E68:F68"/>
    <mergeCell ref="E69:F69"/>
    <mergeCell ref="G41:H41"/>
    <mergeCell ref="C55:D55"/>
    <mergeCell ref="E55:E56"/>
    <mergeCell ref="B92:C92"/>
    <mergeCell ref="B93:C93"/>
    <mergeCell ref="B90:D90"/>
    <mergeCell ref="B87:C87"/>
    <mergeCell ref="B86:C86"/>
    <mergeCell ref="B70:C70"/>
    <mergeCell ref="B71:C71"/>
    <mergeCell ref="B80:C80"/>
    <mergeCell ref="B113:C113"/>
    <mergeCell ref="B107:C107"/>
    <mergeCell ref="B108:C108"/>
    <mergeCell ref="B127:C127"/>
    <mergeCell ref="B121:C121"/>
    <mergeCell ref="B112:C112"/>
    <mergeCell ref="B122:C122"/>
    <mergeCell ref="B125:D125"/>
    <mergeCell ref="B128:C128"/>
    <mergeCell ref="B131:C131"/>
    <mergeCell ref="B132:C132"/>
    <mergeCell ref="B130:C130"/>
    <mergeCell ref="B129:C129"/>
    <mergeCell ref="B95:C95"/>
    <mergeCell ref="B96:C96"/>
    <mergeCell ref="B118:D118"/>
    <mergeCell ref="B120:C120"/>
    <mergeCell ref="B111:C111"/>
    <mergeCell ref="B104:D104"/>
    <mergeCell ref="B97:C97"/>
    <mergeCell ref="B106:C106"/>
    <mergeCell ref="B98:C98"/>
    <mergeCell ref="B99:C99"/>
    <mergeCell ref="B100:C100"/>
    <mergeCell ref="B101:C101"/>
    <mergeCell ref="B109:C109"/>
    <mergeCell ref="B110:C110"/>
    <mergeCell ref="A23:B23"/>
    <mergeCell ref="A30:B30"/>
    <mergeCell ref="A31:B31"/>
    <mergeCell ref="A32:B32"/>
    <mergeCell ref="A33:B33"/>
    <mergeCell ref="D24:E24"/>
    <mergeCell ref="A27:B27"/>
    <mergeCell ref="D25:E25"/>
    <mergeCell ref="B81:C81"/>
    <mergeCell ref="B85:C85"/>
    <mergeCell ref="B77:C77"/>
    <mergeCell ref="B76:C76"/>
    <mergeCell ref="B79:C79"/>
    <mergeCell ref="B82:C82"/>
    <mergeCell ref="B83:C83"/>
    <mergeCell ref="B84:C84"/>
    <mergeCell ref="A40:B40"/>
    <mergeCell ref="A41:B41"/>
    <mergeCell ref="B78:C78"/>
    <mergeCell ref="B69:C69"/>
    <mergeCell ref="B62:D62"/>
    <mergeCell ref="B74:D74"/>
    <mergeCell ref="B67:C67"/>
    <mergeCell ref="B64:C64"/>
    <mergeCell ref="B68:C68"/>
    <mergeCell ref="B66:C66"/>
    <mergeCell ref="A42:B42"/>
    <mergeCell ref="B65:C65"/>
    <mergeCell ref="B59:D59"/>
    <mergeCell ref="C56:D56"/>
    <mergeCell ref="A49:B49"/>
    <mergeCell ref="B55:B56"/>
    <mergeCell ref="A52:B52"/>
    <mergeCell ref="A43:B43"/>
    <mergeCell ref="A45:B45"/>
    <mergeCell ref="A46:B46"/>
    <mergeCell ref="A48:B48"/>
    <mergeCell ref="A47:B47"/>
    <mergeCell ref="A1:F4"/>
    <mergeCell ref="D16:E16"/>
    <mergeCell ref="D17:E17"/>
    <mergeCell ref="D18:E18"/>
    <mergeCell ref="A13:B13"/>
    <mergeCell ref="D14:E14"/>
    <mergeCell ref="A16:B16"/>
    <mergeCell ref="A17:B17"/>
    <mergeCell ref="A14:B14"/>
    <mergeCell ref="A15:B15"/>
    <mergeCell ref="D20:E20"/>
    <mergeCell ref="G37:H37"/>
    <mergeCell ref="D33:E33"/>
    <mergeCell ref="A37:B37"/>
    <mergeCell ref="A24:B24"/>
    <mergeCell ref="D34:E34"/>
    <mergeCell ref="D32:E32"/>
    <mergeCell ref="D31:E31"/>
    <mergeCell ref="I19:J19"/>
    <mergeCell ref="D26:E26"/>
    <mergeCell ref="I14:J14"/>
    <mergeCell ref="I13:J13"/>
    <mergeCell ref="D15:E15"/>
    <mergeCell ref="I17:J17"/>
    <mergeCell ref="I20:J20"/>
    <mergeCell ref="A21:D21"/>
    <mergeCell ref="A25:B25"/>
    <mergeCell ref="A20:B20"/>
    <mergeCell ref="A39:B39"/>
    <mergeCell ref="A44:B44"/>
    <mergeCell ref="I15:J15"/>
    <mergeCell ref="I16:J16"/>
    <mergeCell ref="D19:E19"/>
    <mergeCell ref="A18:B18"/>
    <mergeCell ref="A38:B38"/>
    <mergeCell ref="A19:B19"/>
    <mergeCell ref="I18:J18"/>
    <mergeCell ref="A26:B26"/>
    <mergeCell ref="I10:J10"/>
    <mergeCell ref="I12:J12"/>
    <mergeCell ref="I6:J6"/>
    <mergeCell ref="C10:F10"/>
    <mergeCell ref="C8:F8"/>
    <mergeCell ref="C9:F9"/>
    <mergeCell ref="I8:J8"/>
    <mergeCell ref="I9:J9"/>
    <mergeCell ref="B6:D6"/>
    <mergeCell ref="C11:F11"/>
  </mergeCells>
  <hyperlinks>
    <hyperlink ref="I14:J14" location="Mob!A1" display="Mobiliario"/>
    <hyperlink ref="I15:J15" location="M.O.!A1" display="Costes de  mano de obra"/>
    <hyperlink ref="I16:J16" location="Sumin!A1" display="Costes de suministro"/>
    <hyperlink ref="I13:J13" location="Maquin!A1" display="Maquinaria movil"/>
    <hyperlink ref="I12:J12" location="Insta!A1" display="Instalaciones"/>
    <hyperlink ref="I10:J10" location="Infra!A1" display="Obras e infraestructuras"/>
    <hyperlink ref="I9:J9" location="Terr!A1" display="Adquisicion de terrenos"/>
    <hyperlink ref="I8:J8" location="Invest!A1" display="Investigacion y estudios"/>
    <hyperlink ref="I17:J17" location="Mto!A1" display="Costes de  Mantenimiento"/>
    <hyperlink ref="I18:J18" location="Indir!A1" display="Costes Indirectos"/>
    <hyperlink ref="I19" location="PPTO!A1" display="Presupuesto"/>
    <hyperlink ref="I20:J20" location="RES!A1" display="Resumen"/>
  </hyperlinks>
  <printOptions/>
  <pageMargins left="0.75" right="0.75" top="1" bottom="1" header="0" footer="0"/>
  <pageSetup horizontalDpi="600" verticalDpi="600" orientation="portrait" paperSize="9" scale="81" r:id="rId4"/>
  <headerFooter alignWithMargins="0">
    <oddHeader>&amp;RMODELO ECONÓMICO MÁRMOL  &amp;P</oddHeader>
  </headerFooter>
  <rowBreaks count="2" manualBreakCount="2">
    <brk id="58" max="6" man="1"/>
    <brk id="115" max="6" man="1"/>
  </rowBreaks>
  <colBreaks count="1" manualBreakCount="1">
    <brk id="7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B31" sqref="B31"/>
    </sheetView>
  </sheetViews>
  <sheetFormatPr defaultColWidth="11.421875" defaultRowHeight="12.75"/>
  <cols>
    <col min="1" max="1" width="39.57421875" style="0" customWidth="1"/>
    <col min="2" max="2" width="11.57421875" style="0" bestFit="1" customWidth="1"/>
    <col min="3" max="3" width="13.57421875" style="0" customWidth="1"/>
    <col min="4" max="4" width="14.00390625" style="0" bestFit="1" customWidth="1"/>
    <col min="5" max="5" width="11.8515625" style="0" bestFit="1" customWidth="1"/>
    <col min="6" max="6" width="11.7109375" style="0" customWidth="1"/>
  </cols>
  <sheetData>
    <row r="1" spans="1:6" ht="12.75">
      <c r="A1" s="358" t="s">
        <v>379</v>
      </c>
      <c r="B1" s="359"/>
      <c r="C1" s="359"/>
      <c r="D1" s="359"/>
      <c r="E1" s="359"/>
      <c r="F1" s="360"/>
    </row>
    <row r="2" spans="1:6" ht="12.75">
      <c r="A2" s="361"/>
      <c r="B2" s="362"/>
      <c r="C2" s="362"/>
      <c r="D2" s="362"/>
      <c r="E2" s="362"/>
      <c r="F2" s="363"/>
    </row>
    <row r="3" spans="1:6" ht="13.5" thickBot="1">
      <c r="A3" s="364"/>
      <c r="B3" s="365"/>
      <c r="C3" s="365"/>
      <c r="D3" s="365"/>
      <c r="E3" s="365"/>
      <c r="F3" s="366"/>
    </row>
    <row r="5" spans="1:9" ht="21" customHeight="1">
      <c r="A5" s="421"/>
      <c r="B5" s="421"/>
      <c r="C5" s="421"/>
      <c r="G5" s="435" t="s">
        <v>583</v>
      </c>
      <c r="H5" s="435"/>
      <c r="I5" s="435"/>
    </row>
    <row r="6" spans="1:9" ht="21" customHeight="1" thickBot="1">
      <c r="A6" s="96"/>
      <c r="B6" s="96"/>
      <c r="C6" s="96"/>
      <c r="G6" s="435"/>
      <c r="H6" s="435"/>
      <c r="I6" s="435"/>
    </row>
    <row r="7" spans="2:6" ht="12.75" customHeight="1">
      <c r="B7" s="460" t="s">
        <v>481</v>
      </c>
      <c r="C7" s="461"/>
      <c r="D7" s="461"/>
      <c r="E7" s="462"/>
      <c r="F7" s="159"/>
    </row>
    <row r="8" spans="1:6" ht="13.5" customHeight="1" thickBot="1">
      <c r="A8" s="159"/>
      <c r="B8" s="463"/>
      <c r="C8" s="464"/>
      <c r="D8" s="464"/>
      <c r="E8" s="465"/>
      <c r="F8" s="159"/>
    </row>
    <row r="9" spans="1:3" ht="13.5" thickBot="1">
      <c r="A9" s="96"/>
      <c r="B9" s="96"/>
      <c r="C9" s="96"/>
    </row>
    <row r="10" spans="1:3" ht="13.5" thickBot="1">
      <c r="A10" s="372" t="s">
        <v>19</v>
      </c>
      <c r="B10" s="414"/>
      <c r="C10" s="373"/>
    </row>
    <row r="11" spans="1:5" ht="12.75">
      <c r="A11" s="6"/>
      <c r="B11" s="6"/>
      <c r="C11" s="6"/>
      <c r="D11" s="6"/>
      <c r="E11" s="6"/>
    </row>
    <row r="12" spans="1:6" ht="12.75">
      <c r="A12" s="26" t="s">
        <v>34</v>
      </c>
      <c r="B12" s="22" t="s">
        <v>398</v>
      </c>
      <c r="C12" s="22" t="s">
        <v>35</v>
      </c>
      <c r="D12" s="22" t="s">
        <v>397</v>
      </c>
      <c r="E12" s="22" t="s">
        <v>399</v>
      </c>
      <c r="F12" s="21" t="s">
        <v>37</v>
      </c>
    </row>
    <row r="13" spans="1:6" ht="12.75">
      <c r="A13" s="27" t="str">
        <f>Insta!A9</f>
        <v>ATLAS GA160</v>
      </c>
      <c r="B13" s="220">
        <v>0.5</v>
      </c>
      <c r="C13" s="82">
        <f>Insta!C9</f>
        <v>50000</v>
      </c>
      <c r="D13" s="84">
        <f>B13*Insta!D9/C13</f>
        <v>0.6</v>
      </c>
      <c r="E13" s="80">
        <f>Sumi!D82</f>
        <v>445</v>
      </c>
      <c r="F13" s="84">
        <f>E13*D13</f>
        <v>267</v>
      </c>
    </row>
    <row r="15" ht="13.5" thickBot="1"/>
    <row r="16" spans="1:4" ht="14.25" customHeight="1" thickBot="1">
      <c r="A16" s="372" t="s">
        <v>127</v>
      </c>
      <c r="B16" s="414"/>
      <c r="C16" s="373"/>
      <c r="D16" s="33"/>
    </row>
    <row r="17" spans="1:4" ht="15.75">
      <c r="A17" s="81"/>
      <c r="B17" s="81"/>
      <c r="C17" s="81"/>
      <c r="D17" s="33"/>
    </row>
    <row r="18" spans="1:6" ht="12.75">
      <c r="A18" s="26" t="s">
        <v>34</v>
      </c>
      <c r="B18" s="22" t="s">
        <v>398</v>
      </c>
      <c r="C18" s="22" t="s">
        <v>35</v>
      </c>
      <c r="D18" s="22" t="s">
        <v>397</v>
      </c>
      <c r="E18" s="22" t="s">
        <v>399</v>
      </c>
      <c r="F18" s="21" t="s">
        <v>37</v>
      </c>
    </row>
    <row r="19" spans="1:6" ht="12.75">
      <c r="A19" s="27" t="str">
        <f>Insta!A20</f>
        <v>Sumergida</v>
      </c>
      <c r="B19" s="220">
        <v>0.5</v>
      </c>
      <c r="C19" s="82">
        <f>Insta!C20</f>
        <v>15000</v>
      </c>
      <c r="D19" s="84">
        <f>B19*Insta!D20/C19</f>
        <v>0.1</v>
      </c>
      <c r="E19" s="80">
        <f>Insta!B23</f>
        <v>0</v>
      </c>
      <c r="F19" s="84">
        <f>E19*D19</f>
        <v>0</v>
      </c>
    </row>
    <row r="20" spans="1:4" ht="16.5" customHeight="1">
      <c r="A20" s="81"/>
      <c r="B20" s="81"/>
      <c r="C20" s="81"/>
      <c r="D20" s="33"/>
    </row>
    <row r="21" ht="13.5" thickBot="1"/>
    <row r="22" spans="1:3" ht="13.5" thickBot="1">
      <c r="A22" s="372" t="s">
        <v>129</v>
      </c>
      <c r="B22" s="414"/>
      <c r="C22" s="373"/>
    </row>
    <row r="23" spans="1:3" ht="15.75">
      <c r="A23" s="81"/>
      <c r="B23" s="81"/>
      <c r="C23" s="81"/>
    </row>
    <row r="24" spans="1:6" ht="12.75">
      <c r="A24" s="26" t="s">
        <v>34</v>
      </c>
      <c r="B24" s="22" t="s">
        <v>398</v>
      </c>
      <c r="C24" s="22" t="s">
        <v>35</v>
      </c>
      <c r="D24" s="22" t="s">
        <v>397</v>
      </c>
      <c r="E24" s="22" t="s">
        <v>399</v>
      </c>
      <c r="F24" s="21" t="s">
        <v>37</v>
      </c>
    </row>
    <row r="25" spans="1:6" ht="12.75">
      <c r="A25" s="27" t="str">
        <f>Insta!A30</f>
        <v>Portátil</v>
      </c>
      <c r="B25" s="220">
        <v>0.5</v>
      </c>
      <c r="C25" s="82">
        <f>Insta!C30</f>
        <v>15000</v>
      </c>
      <c r="D25" s="84">
        <f>B25*Insta!D30/C25</f>
        <v>0.5</v>
      </c>
      <c r="E25" s="215">
        <v>0</v>
      </c>
      <c r="F25" s="84">
        <f>E25*D25</f>
        <v>0</v>
      </c>
    </row>
    <row r="26" spans="1:3" ht="15.75">
      <c r="A26" s="81"/>
      <c r="B26" s="81"/>
      <c r="C26" s="81"/>
    </row>
    <row r="27" ht="13.5" thickBot="1"/>
    <row r="28" spans="1:3" ht="13.5" thickBot="1">
      <c r="A28" s="372" t="s">
        <v>131</v>
      </c>
      <c r="B28" s="414"/>
      <c r="C28" s="373"/>
    </row>
    <row r="30" spans="1:6" ht="12.75">
      <c r="A30" s="26" t="s">
        <v>34</v>
      </c>
      <c r="B30" s="22" t="s">
        <v>398</v>
      </c>
      <c r="C30" s="22" t="s">
        <v>35</v>
      </c>
      <c r="D30" s="22" t="s">
        <v>397</v>
      </c>
      <c r="E30" s="22" t="s">
        <v>399</v>
      </c>
      <c r="F30" s="21" t="s">
        <v>37</v>
      </c>
    </row>
    <row r="31" spans="1:6" ht="12.75">
      <c r="A31" s="27" t="str">
        <f>Insta!A42</f>
        <v>Grupo generador</v>
      </c>
      <c r="B31" s="220">
        <v>0.5</v>
      </c>
      <c r="C31" s="82">
        <f>Insta!C42</f>
        <v>10000</v>
      </c>
      <c r="D31" s="84">
        <f>B31*Insta!D42/C31</f>
        <v>0.09</v>
      </c>
      <c r="E31" s="80">
        <f>Sumi!E178</f>
        <v>0</v>
      </c>
      <c r="F31" s="84">
        <f>E31*D31</f>
        <v>0</v>
      </c>
    </row>
    <row r="32" spans="1:6" ht="12.75">
      <c r="A32" s="27" t="str">
        <f>Insta!A43</f>
        <v>Focos</v>
      </c>
      <c r="B32" s="220">
        <v>0.5</v>
      </c>
      <c r="C32" s="82">
        <f>Insta!C43</f>
        <v>2000</v>
      </c>
      <c r="D32" s="84">
        <f>B32*Insta!D43/C32</f>
        <v>0.15</v>
      </c>
      <c r="E32" s="80">
        <f>Sumi!E178</f>
        <v>0</v>
      </c>
      <c r="F32" s="84">
        <f>E32*D32</f>
        <v>0</v>
      </c>
    </row>
    <row r="33" spans="1:6" ht="12.75">
      <c r="A33" s="14"/>
      <c r="B33" s="258"/>
      <c r="C33" s="83"/>
      <c r="D33" s="107"/>
      <c r="E33" s="108"/>
      <c r="F33" s="107"/>
    </row>
    <row r="34" ht="13.5" thickBot="1">
      <c r="E34" s="256" t="s">
        <v>572</v>
      </c>
    </row>
    <row r="35" spans="1:9" ht="21" customHeight="1" thickBot="1">
      <c r="A35" s="372" t="s">
        <v>133</v>
      </c>
      <c r="B35" s="414"/>
      <c r="C35" s="373"/>
      <c r="G35" s="435" t="s">
        <v>583</v>
      </c>
      <c r="H35" s="435"/>
      <c r="I35" s="435"/>
    </row>
    <row r="36" spans="1:9" ht="21" customHeight="1">
      <c r="A36" s="96"/>
      <c r="B36" s="96"/>
      <c r="C36" s="96"/>
      <c r="G36" s="435"/>
      <c r="H36" s="435"/>
      <c r="I36" s="435"/>
    </row>
    <row r="37" spans="1:6" ht="12.75">
      <c r="A37" s="26" t="s">
        <v>34</v>
      </c>
      <c r="B37" s="22" t="s">
        <v>398</v>
      </c>
      <c r="C37" s="22" t="s">
        <v>35</v>
      </c>
      <c r="D37" s="22" t="s">
        <v>397</v>
      </c>
      <c r="E37" s="22" t="s">
        <v>399</v>
      </c>
      <c r="F37" s="21" t="s">
        <v>37</v>
      </c>
    </row>
    <row r="38" spans="1:6" ht="12.75">
      <c r="A38" s="27" t="str">
        <f>Insta!A53</f>
        <v>Bombas portatiles</v>
      </c>
      <c r="B38" s="220">
        <v>0.5</v>
      </c>
      <c r="C38" s="82">
        <f>Insta!C53</f>
        <v>15000</v>
      </c>
      <c r="D38" s="100">
        <f>B38*Insta!D53/C38</f>
        <v>0.02666666666666667</v>
      </c>
      <c r="E38" s="215">
        <v>5000</v>
      </c>
      <c r="F38" s="84">
        <f>E38*D38</f>
        <v>133.33333333333334</v>
      </c>
    </row>
    <row r="39" spans="1:3" ht="12.75">
      <c r="A39" s="96"/>
      <c r="B39" s="96"/>
      <c r="C39" s="96"/>
    </row>
    <row r="40" ht="13.5" thickBot="1"/>
    <row r="41" spans="1:3" ht="13.5" thickBot="1">
      <c r="A41" s="372" t="s">
        <v>136</v>
      </c>
      <c r="B41" s="414"/>
      <c r="C41" s="373"/>
    </row>
    <row r="43" spans="1:6" ht="12.75">
      <c r="A43" s="26" t="s">
        <v>34</v>
      </c>
      <c r="B43" s="22" t="s">
        <v>398</v>
      </c>
      <c r="C43" s="22" t="s">
        <v>35</v>
      </c>
      <c r="D43" s="22" t="s">
        <v>397</v>
      </c>
      <c r="E43" s="22" t="s">
        <v>399</v>
      </c>
      <c r="F43" s="21" t="s">
        <v>37</v>
      </c>
    </row>
    <row r="44" spans="1:6" ht="12.75">
      <c r="A44" s="27" t="str">
        <f>Insta!A63</f>
        <v>Axial</v>
      </c>
      <c r="B44" s="220">
        <v>0.5</v>
      </c>
      <c r="C44" s="82">
        <f>Insta!C63</f>
        <v>15000</v>
      </c>
      <c r="D44" s="84">
        <f>B44*Insta!D63/C44</f>
        <v>0.05</v>
      </c>
      <c r="E44" s="80">
        <f>Insta!B66</f>
        <v>0</v>
      </c>
      <c r="F44" s="84">
        <f>E44*D44</f>
        <v>0</v>
      </c>
    </row>
    <row r="45" spans="1:4" ht="12.75">
      <c r="A45" s="37"/>
      <c r="B45" s="37"/>
      <c r="C45" s="37"/>
      <c r="D45" s="115"/>
    </row>
    <row r="46" spans="1:4" ht="13.5" thickBot="1">
      <c r="A46" s="37"/>
      <c r="B46" s="37"/>
      <c r="C46" s="37"/>
      <c r="D46" s="115"/>
    </row>
    <row r="47" spans="1:4" ht="16.5" thickBot="1">
      <c r="A47" s="466" t="s">
        <v>411</v>
      </c>
      <c r="B47" s="467"/>
      <c r="C47" s="468"/>
      <c r="D47" s="165">
        <f>F44+F38+F32+F31+F25+F19+F13</f>
        <v>400.33333333333337</v>
      </c>
    </row>
    <row r="48" spans="1:4" ht="12.75">
      <c r="A48" s="37"/>
      <c r="B48" s="37"/>
      <c r="C48" s="37"/>
      <c r="D48" s="115"/>
    </row>
    <row r="49" spans="1:4" ht="13.5" thickBot="1">
      <c r="A49" s="37"/>
      <c r="B49" s="37"/>
      <c r="C49" s="37"/>
      <c r="D49" s="115"/>
    </row>
    <row r="50" spans="2:5" ht="12.75" customHeight="1">
      <c r="B50" s="460" t="s">
        <v>33</v>
      </c>
      <c r="C50" s="461"/>
      <c r="D50" s="461"/>
      <c r="E50" s="462"/>
    </row>
    <row r="51" spans="1:5" ht="13.5" customHeight="1" thickBot="1">
      <c r="A51" s="14"/>
      <c r="B51" s="463"/>
      <c r="C51" s="464"/>
      <c r="D51" s="464"/>
      <c r="E51" s="465"/>
    </row>
    <row r="52" spans="1:2" ht="12.75">
      <c r="A52" s="37"/>
      <c r="B52" s="1"/>
    </row>
    <row r="53" ht="13.5" thickBot="1"/>
    <row r="54" spans="1:3" ht="13.5" thickBot="1">
      <c r="A54" s="372" t="s">
        <v>66</v>
      </c>
      <c r="B54" s="414"/>
      <c r="C54" s="373"/>
    </row>
    <row r="56" spans="1:6" ht="12.75">
      <c r="A56" s="26" t="s">
        <v>34</v>
      </c>
      <c r="B56" s="22" t="s">
        <v>398</v>
      </c>
      <c r="C56" s="22" t="s">
        <v>35</v>
      </c>
      <c r="D56" s="22" t="s">
        <v>397</v>
      </c>
      <c r="E56" s="22" t="s">
        <v>399</v>
      </c>
      <c r="F56" s="21" t="s">
        <v>37</v>
      </c>
    </row>
    <row r="57" spans="1:6" ht="12.75">
      <c r="A57" s="27" t="s">
        <v>62</v>
      </c>
      <c r="B57" s="220">
        <v>0.75</v>
      </c>
      <c r="C57" s="82">
        <f>Maqui!C23</f>
        <v>30000</v>
      </c>
      <c r="D57" s="84">
        <f>B57*Maqui!D23/C57</f>
        <v>3.75</v>
      </c>
      <c r="E57" s="80">
        <f>Datos!D132*0.9</f>
        <v>126.9</v>
      </c>
      <c r="F57" s="84">
        <f>D57*E57</f>
        <v>475.875</v>
      </c>
    </row>
    <row r="58" spans="1:6" ht="12.75">
      <c r="A58" s="27" t="s">
        <v>63</v>
      </c>
      <c r="B58" s="220">
        <v>0.75</v>
      </c>
      <c r="C58" s="82">
        <f>Maqui!C24</f>
        <v>10000</v>
      </c>
      <c r="D58" s="84">
        <f>B58*Maqui!D24/C58</f>
        <v>0.9</v>
      </c>
      <c r="E58" s="80">
        <f>Datos!D132*0.1</f>
        <v>14.100000000000001</v>
      </c>
      <c r="F58" s="84">
        <f>D58*E58</f>
        <v>12.690000000000001</v>
      </c>
    </row>
    <row r="59" spans="1:6" ht="12.75">
      <c r="A59" s="27" t="s">
        <v>64</v>
      </c>
      <c r="B59" s="220">
        <v>0.75</v>
      </c>
      <c r="C59" s="82">
        <f>Maqui!C25</f>
        <v>30000</v>
      </c>
      <c r="D59" s="84">
        <f>B59*Maqui!D25/C59</f>
        <v>2.25</v>
      </c>
      <c r="E59" s="215">
        <v>0</v>
      </c>
      <c r="F59" s="84">
        <f>D59*E59</f>
        <v>0</v>
      </c>
    </row>
    <row r="60" spans="1:6" ht="12.75">
      <c r="A60" s="27" t="s">
        <v>65</v>
      </c>
      <c r="B60" s="220">
        <v>0.75</v>
      </c>
      <c r="C60" s="82">
        <f>Maqui!C26</f>
        <v>30000</v>
      </c>
      <c r="D60" s="84">
        <f>B60*Maqui!D26/C60</f>
        <v>0.195</v>
      </c>
      <c r="E60" s="80">
        <f>Sumi!D82</f>
        <v>445</v>
      </c>
      <c r="F60" s="84">
        <f>D60*E60</f>
        <v>86.775</v>
      </c>
    </row>
    <row r="61" spans="1:6" ht="12.75">
      <c r="A61" s="27" t="s">
        <v>331</v>
      </c>
      <c r="B61" s="220">
        <v>0.75</v>
      </c>
      <c r="C61" s="82">
        <f>Maqui!C27</f>
        <v>10000</v>
      </c>
      <c r="D61" s="84">
        <f>B61*Maqui!D27/C61</f>
        <v>0.18</v>
      </c>
      <c r="E61" s="80">
        <f>Sumi!D82</f>
        <v>445</v>
      </c>
      <c r="F61" s="84">
        <f>D61*E61</f>
        <v>80.1</v>
      </c>
    </row>
    <row r="62" spans="1:6" ht="13.5" thickBot="1">
      <c r="A62" s="14"/>
      <c r="B62" s="14"/>
      <c r="C62" s="5"/>
      <c r="D62" s="36"/>
      <c r="E62" s="5"/>
      <c r="F62" s="36"/>
    </row>
    <row r="63" spans="1:6" ht="13.5" thickBot="1">
      <c r="A63" s="166" t="s">
        <v>401</v>
      </c>
      <c r="B63" s="412">
        <f>F57+F58+F59+F60+F61</f>
        <v>655.44</v>
      </c>
      <c r="C63" s="413"/>
      <c r="D63" s="36"/>
      <c r="E63" s="5"/>
      <c r="F63" s="36"/>
    </row>
    <row r="64" spans="1:6" ht="12.75">
      <c r="A64" s="14"/>
      <c r="B64" s="14"/>
      <c r="C64" s="5"/>
      <c r="D64" s="36"/>
      <c r="E64" s="5"/>
      <c r="F64" s="36"/>
    </row>
    <row r="65" ht="13.5" thickBot="1"/>
    <row r="66" spans="1:3" ht="13.5" thickBot="1">
      <c r="A66" s="372" t="s">
        <v>67</v>
      </c>
      <c r="B66" s="414"/>
      <c r="C66" s="373"/>
    </row>
    <row r="68" spans="1:6" ht="12.75">
      <c r="A68" s="26" t="s">
        <v>34</v>
      </c>
      <c r="B68" s="22" t="s">
        <v>398</v>
      </c>
      <c r="C68" s="22" t="s">
        <v>35</v>
      </c>
      <c r="D68" s="22" t="s">
        <v>397</v>
      </c>
      <c r="E68" s="22" t="s">
        <v>399</v>
      </c>
      <c r="F68" s="21" t="s">
        <v>37</v>
      </c>
    </row>
    <row r="69" spans="1:6" ht="12.75">
      <c r="A69" s="27" t="s">
        <v>405</v>
      </c>
      <c r="B69" s="220">
        <v>0.75</v>
      </c>
      <c r="C69" s="82">
        <f>Maqui!C35</f>
        <v>15000</v>
      </c>
      <c r="D69" s="99">
        <f>B69*Maqui!D35/C69</f>
        <v>0.81</v>
      </c>
      <c r="E69" s="80">
        <f>(Datos!D87+Datos!D67)/Maqui!G36</f>
        <v>2230.3125</v>
      </c>
      <c r="F69" s="99">
        <f>D69*E69</f>
        <v>1806.5531250000001</v>
      </c>
    </row>
    <row r="70" spans="1:6" ht="12.75">
      <c r="A70" s="27" t="s">
        <v>406</v>
      </c>
      <c r="B70" s="220">
        <v>0.75</v>
      </c>
      <c r="C70" s="82">
        <f>Maqui!C36</f>
        <v>15000</v>
      </c>
      <c r="D70" s="99">
        <f>B70*Maqui!D36/C70</f>
        <v>0.99</v>
      </c>
      <c r="E70" s="80">
        <f>Datos!D101/Maqui!G36</f>
        <v>600</v>
      </c>
      <c r="F70" s="99">
        <f>D70*E70</f>
        <v>594</v>
      </c>
    </row>
    <row r="71" spans="1:6" ht="12.75">
      <c r="A71" s="27" t="s">
        <v>404</v>
      </c>
      <c r="B71" s="220">
        <v>0.75</v>
      </c>
      <c r="C71" s="82">
        <f>Maqui!C43</f>
        <v>20000</v>
      </c>
      <c r="D71" s="99">
        <f>B71*Maqui!D43/C71</f>
        <v>3.6</v>
      </c>
      <c r="E71" s="80">
        <f>Sumi!D65</f>
        <v>359.8</v>
      </c>
      <c r="F71" s="99">
        <f>D71*E71</f>
        <v>1295.28</v>
      </c>
    </row>
    <row r="72" spans="1:6" ht="13.5" thickBot="1">
      <c r="A72" s="14"/>
      <c r="B72" s="14"/>
      <c r="C72" s="5"/>
      <c r="D72" s="5"/>
      <c r="E72" s="5"/>
      <c r="F72" s="5"/>
    </row>
    <row r="73" spans="1:6" ht="13.5" thickBot="1">
      <c r="A73" s="166" t="s">
        <v>403</v>
      </c>
      <c r="B73" s="412">
        <f>F69+F70+F71</f>
        <v>3695.833125</v>
      </c>
      <c r="C73" s="413"/>
      <c r="D73" s="5"/>
      <c r="E73" s="256" t="s">
        <v>572</v>
      </c>
      <c r="F73" s="5"/>
    </row>
    <row r="74" spans="1:6" ht="12.75">
      <c r="A74" s="14"/>
      <c r="B74" s="14"/>
      <c r="C74" s="5"/>
      <c r="D74" s="5"/>
      <c r="E74" s="5"/>
      <c r="F74" s="5"/>
    </row>
    <row r="75" spans="7:9" ht="21" customHeight="1" thickBot="1">
      <c r="G75" s="435" t="s">
        <v>583</v>
      </c>
      <c r="H75" s="435"/>
      <c r="I75" s="435"/>
    </row>
    <row r="76" spans="1:9" ht="21" customHeight="1" thickBot="1">
      <c r="A76" s="372" t="s">
        <v>39</v>
      </c>
      <c r="B76" s="414"/>
      <c r="C76" s="373"/>
      <c r="G76" s="435"/>
      <c r="H76" s="435"/>
      <c r="I76" s="435"/>
    </row>
    <row r="78" spans="1:6" ht="12.75">
      <c r="A78" s="59" t="s">
        <v>34</v>
      </c>
      <c r="B78" s="22" t="s">
        <v>398</v>
      </c>
      <c r="C78" s="22" t="s">
        <v>35</v>
      </c>
      <c r="D78" s="22" t="s">
        <v>397</v>
      </c>
      <c r="E78" s="22" t="s">
        <v>399</v>
      </c>
      <c r="F78" s="21" t="s">
        <v>37</v>
      </c>
    </row>
    <row r="79" spans="1:6" ht="12.75">
      <c r="A79" s="27" t="s">
        <v>161</v>
      </c>
      <c r="B79" s="220">
        <v>0.75</v>
      </c>
      <c r="C79" s="82">
        <f>Maqui!G58</f>
        <v>30000</v>
      </c>
      <c r="D79" s="84">
        <f>B79*Maqui!D58/C79</f>
        <v>6</v>
      </c>
      <c r="E79" s="80">
        <f>Sumi!E158</f>
        <v>231.12</v>
      </c>
      <c r="F79" s="84">
        <f>D79*E79</f>
        <v>1386.72</v>
      </c>
    </row>
    <row r="80" spans="1:6" ht="12.75">
      <c r="A80" s="14"/>
      <c r="B80" s="106"/>
      <c r="C80" s="83"/>
      <c r="D80" s="107"/>
      <c r="E80" s="108"/>
      <c r="F80" s="107"/>
    </row>
    <row r="81" ht="13.5" thickBot="1"/>
    <row r="82" spans="1:3" ht="13.5" thickBot="1">
      <c r="A82" s="372" t="s">
        <v>68</v>
      </c>
      <c r="B82" s="414"/>
      <c r="C82" s="373"/>
    </row>
    <row r="84" spans="1:6" ht="12.75">
      <c r="A84" s="26" t="s">
        <v>34</v>
      </c>
      <c r="B84" s="22" t="s">
        <v>398</v>
      </c>
      <c r="C84" s="22" t="s">
        <v>35</v>
      </c>
      <c r="D84" s="22" t="s">
        <v>397</v>
      </c>
      <c r="E84" s="22" t="s">
        <v>399</v>
      </c>
      <c r="F84" s="21" t="s">
        <v>37</v>
      </c>
    </row>
    <row r="85" spans="1:6" ht="12.75">
      <c r="A85" s="27" t="s">
        <v>163</v>
      </c>
      <c r="B85" s="220">
        <v>0.75</v>
      </c>
      <c r="C85" s="82">
        <f>Maqui!G64</f>
        <v>30000</v>
      </c>
      <c r="D85" s="84">
        <f>B85*Maqui!D64/C85</f>
        <v>10.5</v>
      </c>
      <c r="E85" s="80">
        <f>Sumi!E165/2</f>
        <v>1980</v>
      </c>
      <c r="F85" s="84">
        <f>D85*E85</f>
        <v>20790</v>
      </c>
    </row>
    <row r="86" spans="1:6" ht="12.75">
      <c r="A86" s="27" t="s">
        <v>164</v>
      </c>
      <c r="B86" s="220">
        <v>0.75</v>
      </c>
      <c r="C86" s="82">
        <f>Maqui!G65</f>
        <v>30000</v>
      </c>
      <c r="D86" s="84">
        <f>B86*Maqui!D65/C86</f>
        <v>13.5</v>
      </c>
      <c r="E86" s="80">
        <f>Sumi!E165/2</f>
        <v>1980</v>
      </c>
      <c r="F86" s="84">
        <f>D86*E86</f>
        <v>26730</v>
      </c>
    </row>
    <row r="87" ht="13.5" thickBot="1">
      <c r="C87" s="168"/>
    </row>
    <row r="88" spans="1:3" ht="13.5" thickBot="1">
      <c r="A88" s="166" t="s">
        <v>407</v>
      </c>
      <c r="B88" s="412">
        <f>F86+F85+F79</f>
        <v>48906.72</v>
      </c>
      <c r="C88" s="413"/>
    </row>
    <row r="89" ht="13.5" thickBot="1"/>
    <row r="90" spans="1:3" ht="13.5" thickBot="1">
      <c r="A90" s="372" t="s">
        <v>408</v>
      </c>
      <c r="B90" s="414"/>
      <c r="C90" s="16"/>
    </row>
    <row r="92" spans="1:6" ht="12.75">
      <c r="A92" s="59" t="s">
        <v>34</v>
      </c>
      <c r="B92" s="22" t="s">
        <v>398</v>
      </c>
      <c r="C92" s="22" t="s">
        <v>35</v>
      </c>
      <c r="D92" s="22" t="s">
        <v>397</v>
      </c>
      <c r="E92" s="22" t="s">
        <v>399</v>
      </c>
      <c r="F92" s="21" t="s">
        <v>37</v>
      </c>
    </row>
    <row r="93" spans="1:6" ht="12.75">
      <c r="A93" s="27" t="s">
        <v>167</v>
      </c>
      <c r="B93" s="220">
        <v>0.75</v>
      </c>
      <c r="C93" s="82">
        <f>Maqui!G73</f>
        <v>30000</v>
      </c>
      <c r="D93" s="99">
        <f>B93*Maqui!D73/C93</f>
        <v>0.225</v>
      </c>
      <c r="E93" s="80">
        <f>Sumi!D276*Sumi!D279</f>
        <v>200</v>
      </c>
      <c r="F93" s="99">
        <f>D93*E93</f>
        <v>45</v>
      </c>
    </row>
    <row r="94" spans="1:6" ht="12.75">
      <c r="A94" s="27" t="s">
        <v>59</v>
      </c>
      <c r="B94" s="220">
        <v>0.75</v>
      </c>
      <c r="C94" s="82">
        <f>Maqui!C79</f>
        <v>30000</v>
      </c>
      <c r="D94" s="99">
        <f>B94*Maqui!D79/C94</f>
        <v>0.225</v>
      </c>
      <c r="E94" s="80">
        <f>Maqui!E79*2*220</f>
        <v>880</v>
      </c>
      <c r="F94" s="99">
        <f>D94*E94</f>
        <v>198</v>
      </c>
    </row>
    <row r="95" spans="1:6" ht="12.75">
      <c r="A95" s="27" t="s">
        <v>60</v>
      </c>
      <c r="B95" s="220">
        <v>0.75</v>
      </c>
      <c r="C95" s="82">
        <f>Maqui!C80</f>
        <v>30000</v>
      </c>
      <c r="D95" s="99">
        <f>B95*Maqui!D80/C95</f>
        <v>0.375</v>
      </c>
      <c r="E95" s="80">
        <f>Maqui!E79*4*220</f>
        <v>1760</v>
      </c>
      <c r="F95" s="99">
        <f>D95*E95</f>
        <v>660</v>
      </c>
    </row>
    <row r="96" ht="13.5" thickBot="1"/>
    <row r="97" spans="1:3" ht="13.5" thickBot="1">
      <c r="A97" s="166" t="s">
        <v>409</v>
      </c>
      <c r="B97" s="412">
        <f>F93+F94+F95</f>
        <v>903</v>
      </c>
      <c r="C97" s="413"/>
    </row>
    <row r="100" spans="1:6" ht="13.5" thickBot="1">
      <c r="A100" s="421"/>
      <c r="B100" s="421"/>
      <c r="C100" s="421"/>
      <c r="D100" s="38"/>
      <c r="E100" s="38"/>
      <c r="F100" s="42"/>
    </row>
    <row r="101" spans="1:5" ht="16.5" thickBot="1">
      <c r="A101" s="466" t="s">
        <v>410</v>
      </c>
      <c r="B101" s="467"/>
      <c r="C101" s="468"/>
      <c r="D101" s="165">
        <f>B97+B88+B73+B63</f>
        <v>54160.993125</v>
      </c>
      <c r="E101" s="43"/>
    </row>
    <row r="104" ht="13.5" thickBot="1"/>
    <row r="105" spans="1:4" ht="28.5" customHeight="1" thickBot="1">
      <c r="A105" s="457" t="s">
        <v>412</v>
      </c>
      <c r="B105" s="458"/>
      <c r="C105" s="459"/>
      <c r="D105" s="165">
        <f>D101+D47</f>
        <v>54561.32645833334</v>
      </c>
    </row>
    <row r="107" ht="12.75">
      <c r="E107" s="256" t="s">
        <v>572</v>
      </c>
    </row>
  </sheetData>
  <sheetProtection password="F5C7" sheet="1" objects="1" scenarios="1" selectLockedCells="1"/>
  <mergeCells count="26">
    <mergeCell ref="B7:E8"/>
    <mergeCell ref="B50:E51"/>
    <mergeCell ref="A101:C101"/>
    <mergeCell ref="B97:C97"/>
    <mergeCell ref="A100:C100"/>
    <mergeCell ref="A47:C47"/>
    <mergeCell ref="A1:F3"/>
    <mergeCell ref="A54:C54"/>
    <mergeCell ref="B63:C63"/>
    <mergeCell ref="A66:C66"/>
    <mergeCell ref="A10:C10"/>
    <mergeCell ref="A16:C16"/>
    <mergeCell ref="A22:C22"/>
    <mergeCell ref="A28:C28"/>
    <mergeCell ref="A35:C35"/>
    <mergeCell ref="A41:C41"/>
    <mergeCell ref="G5:I6"/>
    <mergeCell ref="G35:I36"/>
    <mergeCell ref="G75:I76"/>
    <mergeCell ref="A105:C105"/>
    <mergeCell ref="B73:C73"/>
    <mergeCell ref="A76:C76"/>
    <mergeCell ref="A82:C82"/>
    <mergeCell ref="A5:C5"/>
    <mergeCell ref="B88:C88"/>
    <mergeCell ref="A90:B90"/>
  </mergeCells>
  <printOptions/>
  <pageMargins left="0.75" right="0.75" top="1" bottom="1" header="0" footer="0"/>
  <pageSetup firstPageNumber="23" useFirstPageNumber="1" horizontalDpi="600" verticalDpi="600" orientation="landscape" paperSize="9" scale="89" r:id="rId2"/>
  <headerFooter alignWithMargins="0">
    <oddHeader>&amp;RMODELO ECONÓMICO MÁRMOL  &amp;P</oddHeader>
  </headerFooter>
  <rowBreaks count="2" manualBreakCount="2">
    <brk id="34" max="8" man="1"/>
    <brk id="7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0">
      <selection activeCell="D10" sqref="D10"/>
    </sheetView>
  </sheetViews>
  <sheetFormatPr defaultColWidth="11.421875" defaultRowHeight="12.75"/>
  <cols>
    <col min="1" max="2" width="12.00390625" style="0" customWidth="1"/>
    <col min="3" max="3" width="15.421875" style="0" customWidth="1"/>
    <col min="4" max="4" width="15.28125" style="0" customWidth="1"/>
    <col min="5" max="5" width="14.00390625" style="0" bestFit="1" customWidth="1"/>
    <col min="6" max="6" width="14.57421875" style="0" customWidth="1"/>
    <col min="7" max="7" width="13.7109375" style="0" customWidth="1"/>
  </cols>
  <sheetData>
    <row r="1" spans="1:7" ht="12.75" customHeight="1">
      <c r="A1" s="358" t="s">
        <v>383</v>
      </c>
      <c r="B1" s="359"/>
      <c r="C1" s="359"/>
      <c r="D1" s="359"/>
      <c r="E1" s="359"/>
      <c r="F1" s="359"/>
      <c r="G1" s="360"/>
    </row>
    <row r="2" spans="1:7" ht="12.75" customHeight="1">
      <c r="A2" s="361"/>
      <c r="B2" s="362"/>
      <c r="C2" s="362"/>
      <c r="D2" s="362"/>
      <c r="E2" s="362"/>
      <c r="F2" s="362"/>
      <c r="G2" s="363"/>
    </row>
    <row r="3" spans="1:7" ht="13.5" customHeight="1" thickBot="1">
      <c r="A3" s="364"/>
      <c r="B3" s="365"/>
      <c r="C3" s="365"/>
      <c r="D3" s="365"/>
      <c r="E3" s="365"/>
      <c r="F3" s="365"/>
      <c r="G3" s="366"/>
    </row>
    <row r="5" spans="1:3" ht="12.75">
      <c r="A5" s="421"/>
      <c r="B5" s="421"/>
      <c r="C5" s="421"/>
    </row>
    <row r="6" spans="5:7" ht="21" customHeight="1" thickBot="1">
      <c r="E6" s="435" t="s">
        <v>587</v>
      </c>
      <c r="F6" s="435"/>
      <c r="G6" s="435"/>
    </row>
    <row r="7" spans="1:7" ht="21" customHeight="1" thickBot="1">
      <c r="A7" s="372" t="s">
        <v>454</v>
      </c>
      <c r="B7" s="414"/>
      <c r="C7" s="373"/>
      <c r="E7" s="435"/>
      <c r="F7" s="435"/>
      <c r="G7" s="435"/>
    </row>
    <row r="10" spans="2:4" ht="12.75">
      <c r="B10" s="336" t="s">
        <v>455</v>
      </c>
      <c r="C10" s="336"/>
      <c r="D10" s="211">
        <v>50</v>
      </c>
    </row>
    <row r="12" spans="2:6" ht="12.75">
      <c r="B12" s="470" t="s">
        <v>459</v>
      </c>
      <c r="C12" s="470"/>
      <c r="D12" s="211">
        <v>4</v>
      </c>
      <c r="E12" s="75" t="s">
        <v>460</v>
      </c>
      <c r="F12" s="211">
        <v>5</v>
      </c>
    </row>
    <row r="13" ht="12.75">
      <c r="F13" t="s">
        <v>464</v>
      </c>
    </row>
    <row r="15" ht="13.5" thickBot="1"/>
    <row r="16" spans="1:7" ht="13.5" thickBot="1">
      <c r="A16" s="453" t="s">
        <v>457</v>
      </c>
      <c r="B16" s="454"/>
      <c r="C16" s="135">
        <f>PPTO!E27*Indir!D10/100</f>
        <v>1460515.2065663887</v>
      </c>
      <c r="E16" s="171" t="s">
        <v>483</v>
      </c>
      <c r="F16" s="3">
        <v>1</v>
      </c>
      <c r="G16" s="3">
        <v>6</v>
      </c>
    </row>
    <row r="17" spans="6:7" ht="12.75">
      <c r="F17" s="173">
        <f>-1*PMT(D12/100,F12,C16)</f>
        <v>328071.31506368966</v>
      </c>
      <c r="G17" s="173">
        <f>$F$17</f>
        <v>328071.31506368966</v>
      </c>
    </row>
    <row r="18" spans="2:7" ht="12.75">
      <c r="B18" t="s">
        <v>462</v>
      </c>
      <c r="C18" s="7">
        <f>F19+F23+F27+F31+F35+G19+G23+G27+G31+G35</f>
        <v>1460515.2065663869</v>
      </c>
      <c r="F18" s="174">
        <f>IPMT($D$12/100,1,$F$12,$C$16)</f>
        <v>-58420.60826265555</v>
      </c>
      <c r="G18" s="174">
        <f>IF(F12&gt;5,IPMT($D$12/100,G16,$F$12,$C$16),0)</f>
        <v>0</v>
      </c>
    </row>
    <row r="19" spans="6:7" ht="12.75">
      <c r="F19" s="173">
        <f>F17+F18</f>
        <v>269650.7068010341</v>
      </c>
      <c r="G19" s="173">
        <f>IF($F$12&lt;G16,0,G17+G18)</f>
        <v>0</v>
      </c>
    </row>
    <row r="20" spans="2:7" ht="12.75">
      <c r="B20" t="s">
        <v>466</v>
      </c>
      <c r="C20" s="134">
        <f>-1*(F18+F22+F26+F30+F34+G18+G22+G26+G30+G34)</f>
        <v>179841.3687520617</v>
      </c>
      <c r="E20" s="172" t="s">
        <v>483</v>
      </c>
      <c r="F20" s="3">
        <v>2</v>
      </c>
      <c r="G20" s="3">
        <v>7</v>
      </c>
    </row>
    <row r="21" spans="2:7" ht="12.75">
      <c r="B21" t="s">
        <v>465</v>
      </c>
      <c r="C21" s="134">
        <f>C20/F12</f>
        <v>35968.27375041234</v>
      </c>
      <c r="F21" s="173">
        <f>$F$17</f>
        <v>328071.31506368966</v>
      </c>
      <c r="G21" s="173">
        <f>$F$17</f>
        <v>328071.31506368966</v>
      </c>
    </row>
    <row r="22" spans="6:7" ht="12.75">
      <c r="F22" s="174">
        <f>IPMT($D$12/100,F20,$F$12,$C$16)</f>
        <v>-47634.57999061417</v>
      </c>
      <c r="G22" s="174">
        <f>IF(F12&gt;6,IPMT($D$12/100,G20,$F$12,$C$16),0)</f>
        <v>0</v>
      </c>
    </row>
    <row r="23" spans="6:7" ht="12.75">
      <c r="F23" s="173">
        <f>F21+F22</f>
        <v>280436.7350730755</v>
      </c>
      <c r="G23" s="173">
        <f>IF($F$12&lt;G20,0,G21+G22)</f>
        <v>0</v>
      </c>
    </row>
    <row r="24" spans="5:7" ht="12.75">
      <c r="E24" s="172" t="s">
        <v>483</v>
      </c>
      <c r="F24" s="3">
        <v>3</v>
      </c>
      <c r="G24" s="3">
        <v>8</v>
      </c>
    </row>
    <row r="25" spans="6:7" ht="12.75">
      <c r="F25" s="173">
        <f>$F$17</f>
        <v>328071.31506368966</v>
      </c>
      <c r="G25" s="173">
        <f>$F$17</f>
        <v>328071.31506368966</v>
      </c>
    </row>
    <row r="26" spans="6:7" ht="12.75">
      <c r="F26" s="174">
        <f>IPMT($D$12/100,F24,$F$12,$C$16)</f>
        <v>-36417.11058769114</v>
      </c>
      <c r="G26" s="174">
        <f>IF(F12&gt;7,IPMT($D$12/100,G24,$F$12,$C$16),0)</f>
        <v>0</v>
      </c>
    </row>
    <row r="27" spans="6:7" ht="12.75">
      <c r="F27" s="173">
        <f>F25+F26</f>
        <v>291654.20447599853</v>
      </c>
      <c r="G27" s="173">
        <f>IF($F$12&lt;G24,0,G25+G26)</f>
        <v>0</v>
      </c>
    </row>
    <row r="28" spans="5:7" ht="12.75">
      <c r="E28" s="172" t="s">
        <v>483</v>
      </c>
      <c r="F28" s="3">
        <v>4</v>
      </c>
      <c r="G28" s="3">
        <v>9</v>
      </c>
    </row>
    <row r="29" spans="6:7" ht="12.75">
      <c r="F29" s="173">
        <f>$F$17</f>
        <v>328071.31506368966</v>
      </c>
      <c r="G29" s="173">
        <f>$F$17</f>
        <v>328071.31506368966</v>
      </c>
    </row>
    <row r="30" spans="6:7" ht="12.75">
      <c r="F30" s="174">
        <f>IPMT($D$12/100,F28,$F$12,$C$16)</f>
        <v>-24750.9424086512</v>
      </c>
      <c r="G30" s="174">
        <f>IF(F12&gt;8,IPMT($D$12/100,G28,$F$12,$C$16),0)</f>
        <v>0</v>
      </c>
    </row>
    <row r="31" spans="6:7" ht="12.75">
      <c r="F31" s="173">
        <f>F29+F30</f>
        <v>303320.3726550385</v>
      </c>
      <c r="G31" s="173">
        <f>IF($F$12&lt;G28,0,G29+G30)</f>
        <v>0</v>
      </c>
    </row>
    <row r="32" spans="5:7" ht="12.75">
      <c r="E32" s="172" t="s">
        <v>483</v>
      </c>
      <c r="F32" s="3">
        <v>5</v>
      </c>
      <c r="G32" s="3">
        <v>10</v>
      </c>
    </row>
    <row r="33" spans="6:7" ht="12.75">
      <c r="F33" s="173">
        <f>$F$17</f>
        <v>328071.31506368966</v>
      </c>
      <c r="G33" s="173">
        <f>$F$17</f>
        <v>328071.31506368966</v>
      </c>
    </row>
    <row r="34" spans="6:7" ht="12.75">
      <c r="F34" s="174">
        <f>IPMT($D$12/100,F32,$F$12,$C$16)</f>
        <v>-12618.127502449639</v>
      </c>
      <c r="G34" s="174">
        <f>IF(F12&gt;9,IPMT($D$12/100,G32,$F$12,$C$16),0)</f>
        <v>0</v>
      </c>
    </row>
    <row r="35" spans="6:7" ht="12.75">
      <c r="F35" s="173">
        <f>F33+F34</f>
        <v>315453.18756124005</v>
      </c>
      <c r="G35" s="173">
        <f>IF($F$12&lt;G32,0,G33+G34)</f>
        <v>0</v>
      </c>
    </row>
    <row r="39" spans="2:3" ht="12.75">
      <c r="B39" s="75" t="s">
        <v>458</v>
      </c>
      <c r="C39" s="211">
        <v>4</v>
      </c>
    </row>
    <row r="40" ht="13.5" thickBot="1"/>
    <row r="41" spans="2:4" ht="13.5" thickBot="1">
      <c r="B41" s="453" t="s">
        <v>456</v>
      </c>
      <c r="C41" s="454"/>
      <c r="D41" s="135">
        <f>PPTO!F24+PPTO!E37</f>
        <v>296584.1695911111</v>
      </c>
    </row>
    <row r="43" spans="2:4" ht="12.75">
      <c r="B43" s="336" t="s">
        <v>461</v>
      </c>
      <c r="C43" s="336"/>
      <c r="D43" s="136">
        <f>D41*C39/100</f>
        <v>11863.366783644444</v>
      </c>
    </row>
    <row r="46" ht="13.5" thickBot="1"/>
    <row r="47" spans="3:5" ht="16.5" customHeight="1" thickBot="1">
      <c r="C47" s="453" t="s">
        <v>467</v>
      </c>
      <c r="D47" s="454"/>
      <c r="E47" s="157">
        <f>C21+D43</f>
        <v>47831.64053405679</v>
      </c>
    </row>
    <row r="48" spans="3:5" ht="16.5" customHeight="1">
      <c r="C48" s="96"/>
      <c r="D48" s="96"/>
      <c r="E48" s="259"/>
    </row>
    <row r="49" ht="12.75">
      <c r="A49" s="256" t="s">
        <v>572</v>
      </c>
    </row>
    <row r="50" ht="13.5" thickBot="1"/>
    <row r="51" spans="1:7" ht="21" customHeight="1" thickBot="1">
      <c r="A51" s="372" t="s">
        <v>469</v>
      </c>
      <c r="B51" s="414"/>
      <c r="C51" s="373"/>
      <c r="E51" s="435" t="s">
        <v>587</v>
      </c>
      <c r="F51" s="435"/>
      <c r="G51" s="435"/>
    </row>
    <row r="52" spans="1:7" ht="21" customHeight="1">
      <c r="A52" s="96"/>
      <c r="B52" s="96"/>
      <c r="C52" s="96"/>
      <c r="E52" s="435"/>
      <c r="F52" s="435"/>
      <c r="G52" s="435"/>
    </row>
    <row r="53" spans="1:3" ht="12.75" customHeight="1">
      <c r="A53" s="469" t="s">
        <v>476</v>
      </c>
      <c r="B53" s="469"/>
      <c r="C53" s="96"/>
    </row>
    <row r="55" spans="1:3" ht="12.75">
      <c r="A55" s="336" t="s">
        <v>471</v>
      </c>
      <c r="B55" s="336"/>
      <c r="C55" s="156">
        <f>PPTO!F18</f>
        <v>1750200</v>
      </c>
    </row>
    <row r="56" spans="1:3" ht="12.75">
      <c r="A56" s="336" t="s">
        <v>472</v>
      </c>
      <c r="B56" s="336"/>
      <c r="C56" s="234">
        <v>0.001</v>
      </c>
    </row>
    <row r="57" spans="1:3" ht="12.75">
      <c r="A57" s="336" t="s">
        <v>473</v>
      </c>
      <c r="B57" s="336"/>
      <c r="C57" s="137">
        <f>C56*C55</f>
        <v>1750.2</v>
      </c>
    </row>
    <row r="58" spans="1:3" ht="12.75">
      <c r="A58" s="1"/>
      <c r="B58" s="1"/>
      <c r="C58" s="35"/>
    </row>
    <row r="59" spans="1:3" ht="12.75">
      <c r="A59" s="469" t="s">
        <v>385</v>
      </c>
      <c r="B59" s="469"/>
      <c r="C59" s="35"/>
    </row>
    <row r="61" spans="1:3" ht="12.75">
      <c r="A61" s="336" t="s">
        <v>474</v>
      </c>
      <c r="B61" s="336"/>
      <c r="C61" s="156">
        <f>PPTO!E35</f>
        <v>366600</v>
      </c>
    </row>
    <row r="62" spans="1:3" ht="12.75">
      <c r="A62" s="336" t="s">
        <v>472</v>
      </c>
      <c r="B62" s="336"/>
      <c r="C62" s="234">
        <v>0.05</v>
      </c>
    </row>
    <row r="63" spans="1:3" ht="12.75">
      <c r="A63" s="336" t="s">
        <v>475</v>
      </c>
      <c r="B63" s="336"/>
      <c r="C63" s="137">
        <f>C61*C62</f>
        <v>18330</v>
      </c>
    </row>
    <row r="65" ht="13.5" thickBot="1"/>
    <row r="66" spans="1:3" ht="20.25" customHeight="1" thickBot="1">
      <c r="A66" s="372" t="s">
        <v>470</v>
      </c>
      <c r="B66" s="414"/>
      <c r="C66" s="373"/>
    </row>
    <row r="68" spans="1:4" ht="12.75">
      <c r="A68" s="336" t="s">
        <v>478</v>
      </c>
      <c r="B68" s="336"/>
      <c r="C68" s="336"/>
      <c r="D68" t="s">
        <v>499</v>
      </c>
    </row>
    <row r="69" ht="12.75">
      <c r="D69" t="s">
        <v>500</v>
      </c>
    </row>
    <row r="70" spans="1:3" ht="12.75">
      <c r="A70" s="336" t="s">
        <v>477</v>
      </c>
      <c r="B70" s="336"/>
      <c r="C70" s="156">
        <f>ROUND(PPTO!E41/10,2)</f>
        <v>77390.02</v>
      </c>
    </row>
    <row r="72" ht="13.5" thickBot="1"/>
    <row r="73" spans="1:3" ht="20.25" customHeight="1" thickBot="1">
      <c r="A73" s="372" t="s">
        <v>479</v>
      </c>
      <c r="B73" s="414"/>
      <c r="C73" s="373"/>
    </row>
    <row r="75" spans="1:3" ht="12.75">
      <c r="A75" s="336" t="s">
        <v>480</v>
      </c>
      <c r="B75" s="336"/>
      <c r="C75" s="336"/>
    </row>
    <row r="77" spans="1:3" ht="12.75">
      <c r="A77" s="336" t="s">
        <v>377</v>
      </c>
      <c r="B77" s="336"/>
      <c r="C77" s="242">
        <f>'M.O.'!F22/10</f>
        <v>36660</v>
      </c>
    </row>
    <row r="82" ht="12.75">
      <c r="A82" s="256" t="s">
        <v>572</v>
      </c>
    </row>
  </sheetData>
  <sheetProtection password="F5C7" sheet="1" objects="1" scenarios="1" selectLockedCells="1"/>
  <mergeCells count="26">
    <mergeCell ref="A51:C51"/>
    <mergeCell ref="A1:G3"/>
    <mergeCell ref="A7:C7"/>
    <mergeCell ref="B10:C10"/>
    <mergeCell ref="B12:C12"/>
    <mergeCell ref="E6:G7"/>
    <mergeCell ref="E51:G52"/>
    <mergeCell ref="B41:C41"/>
    <mergeCell ref="A5:C5"/>
    <mergeCell ref="A16:B16"/>
    <mergeCell ref="B43:C43"/>
    <mergeCell ref="C47:D47"/>
    <mergeCell ref="A73:C73"/>
    <mergeCell ref="A62:B62"/>
    <mergeCell ref="A63:B63"/>
    <mergeCell ref="A66:C66"/>
    <mergeCell ref="A55:B55"/>
    <mergeCell ref="A56:B56"/>
    <mergeCell ref="A57:B57"/>
    <mergeCell ref="A61:B61"/>
    <mergeCell ref="A77:B77"/>
    <mergeCell ref="A75:C75"/>
    <mergeCell ref="A53:B53"/>
    <mergeCell ref="A59:B59"/>
    <mergeCell ref="A70:B70"/>
    <mergeCell ref="A68:C68"/>
  </mergeCells>
  <printOptions/>
  <pageMargins left="0.75" right="0.75" top="1" bottom="1" header="0" footer="0"/>
  <pageSetup firstPageNumber="26" useFirstPageNumber="1" horizontalDpi="600" verticalDpi="600" orientation="portrait" paperSize="9" scale="89" r:id="rId2"/>
  <headerFooter alignWithMargins="0">
    <oddHeader>&amp;RMODELO ECONÓMICO MÁRMOL  &amp;P</oddHeader>
  </headerFooter>
  <rowBreaks count="1" manualBreakCount="1">
    <brk id="4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49">
      <selection activeCell="F66" sqref="F66"/>
    </sheetView>
  </sheetViews>
  <sheetFormatPr defaultColWidth="11.421875" defaultRowHeight="12.75"/>
  <cols>
    <col min="2" max="2" width="16.28125" style="0" customWidth="1"/>
    <col min="3" max="3" width="16.8515625" style="0" customWidth="1"/>
    <col min="4" max="4" width="16.57421875" style="0" customWidth="1"/>
    <col min="5" max="5" width="17.140625" style="0" customWidth="1"/>
    <col min="6" max="6" width="18.421875" style="0" customWidth="1"/>
  </cols>
  <sheetData>
    <row r="1" spans="1:6" ht="12.75" customHeight="1">
      <c r="A1" s="358" t="s">
        <v>139</v>
      </c>
      <c r="B1" s="359"/>
      <c r="C1" s="359"/>
      <c r="D1" s="359"/>
      <c r="E1" s="359"/>
      <c r="F1" s="360"/>
    </row>
    <row r="2" spans="1:6" ht="12.75" customHeight="1">
      <c r="A2" s="361"/>
      <c r="B2" s="362"/>
      <c r="C2" s="362"/>
      <c r="D2" s="362"/>
      <c r="E2" s="362"/>
      <c r="F2" s="363"/>
    </row>
    <row r="3" spans="1:6" ht="13.5" customHeight="1" thickBot="1">
      <c r="A3" s="364"/>
      <c r="B3" s="365"/>
      <c r="C3" s="365"/>
      <c r="D3" s="365"/>
      <c r="E3" s="365"/>
      <c r="F3" s="366"/>
    </row>
    <row r="5" spans="4:6" ht="21" customHeight="1">
      <c r="D5" s="435" t="s">
        <v>583</v>
      </c>
      <c r="E5" s="435"/>
      <c r="F5" s="435"/>
    </row>
    <row r="6" spans="4:6" ht="21" customHeight="1" thickBot="1">
      <c r="D6" s="435"/>
      <c r="E6" s="435"/>
      <c r="F6" s="435"/>
    </row>
    <row r="7" spans="1:3" ht="12.75">
      <c r="A7" s="471" t="s">
        <v>140</v>
      </c>
      <c r="B7" s="472"/>
      <c r="C7" s="473"/>
    </row>
    <row r="8" spans="1:3" ht="13.5" thickBot="1">
      <c r="A8" s="474"/>
      <c r="B8" s="475"/>
      <c r="C8" s="476"/>
    </row>
    <row r="10" spans="1:6" ht="12.75">
      <c r="A10" s="336" t="s">
        <v>0</v>
      </c>
      <c r="B10" s="336"/>
      <c r="C10" s="336"/>
      <c r="D10" s="336"/>
      <c r="F10" s="107">
        <f>Invest!E66</f>
        <v>225571.8</v>
      </c>
    </row>
    <row r="12" spans="1:6" ht="12.75">
      <c r="A12" s="336" t="s">
        <v>141</v>
      </c>
      <c r="B12" s="336"/>
      <c r="C12" s="336"/>
      <c r="D12" s="336"/>
      <c r="F12" s="136">
        <f>Terr!E29</f>
        <v>70000</v>
      </c>
    </row>
    <row r="14" spans="1:6" ht="12.75">
      <c r="A14" s="336" t="s">
        <v>10</v>
      </c>
      <c r="B14" s="336"/>
      <c r="C14" s="336"/>
      <c r="D14" s="336"/>
      <c r="F14" s="136">
        <f>Infra!F76</f>
        <v>131400</v>
      </c>
    </row>
    <row r="16" spans="1:6" ht="12.75">
      <c r="A16" s="336" t="s">
        <v>142</v>
      </c>
      <c r="B16" s="336"/>
      <c r="C16" s="336"/>
      <c r="D16" s="336"/>
      <c r="F16" s="137">
        <f>Insta!F73</f>
        <v>134800</v>
      </c>
    </row>
    <row r="18" spans="1:6" ht="12.75">
      <c r="A18" s="336" t="s">
        <v>143</v>
      </c>
      <c r="B18" s="336"/>
      <c r="C18" s="336"/>
      <c r="D18" s="336"/>
      <c r="F18" s="136">
        <f>Maqui!D87</f>
        <v>1750200</v>
      </c>
    </row>
    <row r="20" spans="1:6" ht="12.75">
      <c r="A20" s="336" t="s">
        <v>144</v>
      </c>
      <c r="B20" s="336"/>
      <c r="C20" s="336"/>
      <c r="D20" s="336"/>
      <c r="F20" s="136">
        <f>Mob!E23</f>
        <v>17600</v>
      </c>
    </row>
    <row r="22" spans="1:6" ht="12.75">
      <c r="A22" s="336" t="s">
        <v>187</v>
      </c>
      <c r="B22" s="336"/>
      <c r="C22" s="336"/>
      <c r="D22" s="336"/>
      <c r="F22" s="136">
        <f>0.15*(F20+F18+F16+F14+F12+F10)</f>
        <v>349435.76999999996</v>
      </c>
    </row>
    <row r="23" spans="2:4" ht="12.75">
      <c r="B23" s="336"/>
      <c r="C23" s="336"/>
      <c r="D23" s="336"/>
    </row>
    <row r="24" spans="1:6" ht="12.75">
      <c r="A24" s="336" t="s">
        <v>468</v>
      </c>
      <c r="B24" s="336"/>
      <c r="C24" s="336"/>
      <c r="D24" s="336"/>
      <c r="E24" s="336"/>
      <c r="F24" s="136">
        <f>SUM(E35:E37)/3</f>
        <v>242022.84313277775</v>
      </c>
    </row>
    <row r="26" ht="13.5" thickBot="1"/>
    <row r="27" spans="2:5" ht="12.75">
      <c r="B27" s="479" t="s">
        <v>146</v>
      </c>
      <c r="C27" s="480"/>
      <c r="D27" s="481"/>
      <c r="E27" s="485">
        <f>F24+F22+F20+F18+F16+F14+F12+F10</f>
        <v>2921030.4131327774</v>
      </c>
    </row>
    <row r="28" spans="2:5" ht="13.5" thickBot="1">
      <c r="B28" s="482"/>
      <c r="C28" s="483"/>
      <c r="D28" s="484"/>
      <c r="E28" s="486"/>
    </row>
    <row r="30" ht="13.5" thickBot="1">
      <c r="F30" s="7"/>
    </row>
    <row r="31" spans="1:3" ht="15" customHeight="1">
      <c r="A31" s="471" t="s">
        <v>145</v>
      </c>
      <c r="B31" s="472"/>
      <c r="C31" s="473"/>
    </row>
    <row r="32" spans="1:6" ht="13.5" thickBot="1">
      <c r="A32" s="474"/>
      <c r="B32" s="475"/>
      <c r="C32" s="476"/>
      <c r="F32" s="7"/>
    </row>
    <row r="33" ht="12.75" customHeight="1"/>
    <row r="34" ht="13.5" customHeight="1"/>
    <row r="35" spans="2:5" ht="12.75">
      <c r="B35" s="336" t="s">
        <v>17</v>
      </c>
      <c r="C35" s="336"/>
      <c r="D35" s="336"/>
      <c r="E35" s="136">
        <f>'M.O.'!F22</f>
        <v>366600</v>
      </c>
    </row>
    <row r="36" spans="2:5" ht="12.75">
      <c r="B36" s="336" t="s">
        <v>18</v>
      </c>
      <c r="C36" s="336"/>
      <c r="D36" s="336"/>
      <c r="E36" s="136">
        <f>Sumi!D20</f>
        <v>304907.20294</v>
      </c>
    </row>
    <row r="37" spans="2:5" ht="12.75">
      <c r="B37" s="336" t="s">
        <v>379</v>
      </c>
      <c r="C37" s="336"/>
      <c r="D37" s="336"/>
      <c r="E37" s="136">
        <f>Mto!D105</f>
        <v>54561.32645833334</v>
      </c>
    </row>
    <row r="38" spans="2:5" ht="12.75">
      <c r="B38" s="336" t="s">
        <v>573</v>
      </c>
      <c r="C38" s="336"/>
      <c r="D38" s="336"/>
      <c r="E38" s="136">
        <f>Indir!E47</f>
        <v>47831.64053405679</v>
      </c>
    </row>
    <row r="40" ht="13.5" thickBot="1"/>
    <row r="41" spans="2:5" ht="12.75">
      <c r="B41" s="479" t="s">
        <v>147</v>
      </c>
      <c r="C41" s="480"/>
      <c r="D41" s="481"/>
      <c r="E41" s="485">
        <f>E35+E36+E37+E38</f>
        <v>773900.1699323901</v>
      </c>
    </row>
    <row r="42" spans="2:5" ht="13.5" thickBot="1">
      <c r="B42" s="482"/>
      <c r="C42" s="483"/>
      <c r="D42" s="484"/>
      <c r="E42" s="486"/>
    </row>
    <row r="43" spans="2:5" ht="15.75">
      <c r="B43" s="133"/>
      <c r="C43" s="133"/>
      <c r="D43" s="133" t="s">
        <v>501</v>
      </c>
      <c r="E43" s="235">
        <f>E41/Datos!C14</f>
        <v>128.98336165539834</v>
      </c>
    </row>
    <row r="44" spans="2:5" ht="15.75">
      <c r="B44" s="133"/>
      <c r="C44" s="133"/>
      <c r="D44" s="133"/>
      <c r="E44" s="24"/>
    </row>
    <row r="45" spans="2:5" ht="15.75">
      <c r="B45" s="133"/>
      <c r="C45" s="133"/>
      <c r="D45" s="133"/>
      <c r="E45" s="24"/>
    </row>
    <row r="46" spans="2:5" ht="15.75">
      <c r="B46" s="133"/>
      <c r="C46" s="133"/>
      <c r="D46" s="133"/>
      <c r="E46" s="24"/>
    </row>
    <row r="47" spans="2:5" ht="15.75">
      <c r="B47" s="133"/>
      <c r="C47" s="133"/>
      <c r="D47" s="133"/>
      <c r="E47" s="24"/>
    </row>
    <row r="48" spans="2:5" ht="15.75">
      <c r="B48" s="133"/>
      <c r="C48" s="133"/>
      <c r="D48" s="133"/>
      <c r="E48" s="24"/>
    </row>
    <row r="49" spans="2:5" ht="15.75">
      <c r="B49" s="133"/>
      <c r="C49" s="133"/>
      <c r="D49" s="133"/>
      <c r="E49" s="24"/>
    </row>
    <row r="50" spans="2:5" ht="15.75">
      <c r="B50" s="133"/>
      <c r="C50" s="133"/>
      <c r="D50" s="133"/>
      <c r="E50" s="24"/>
    </row>
    <row r="51" spans="2:5" ht="15.75">
      <c r="B51" s="133"/>
      <c r="C51" s="133"/>
      <c r="D51" s="133"/>
      <c r="E51" s="24"/>
    </row>
    <row r="52" spans="2:5" ht="15.75">
      <c r="B52" s="133"/>
      <c r="C52" s="133"/>
      <c r="D52" s="133"/>
      <c r="E52" s="24"/>
    </row>
    <row r="53" spans="2:5" ht="15.75">
      <c r="B53" s="133"/>
      <c r="C53" s="133"/>
      <c r="D53" s="133"/>
      <c r="E53" s="24"/>
    </row>
    <row r="54" spans="2:5" ht="15.75">
      <c r="B54" s="133"/>
      <c r="C54" s="133"/>
      <c r="D54" s="133"/>
      <c r="E54" s="24"/>
    </row>
    <row r="55" spans="2:5" ht="15.75">
      <c r="B55" s="133"/>
      <c r="C55" s="133"/>
      <c r="D55" s="133"/>
      <c r="E55" s="24"/>
    </row>
    <row r="56" spans="2:5" ht="15.75">
      <c r="B56" s="133"/>
      <c r="C56" s="133"/>
      <c r="D56" s="133"/>
      <c r="E56" s="24"/>
    </row>
    <row r="57" spans="2:5" ht="15.75">
      <c r="B57" s="133"/>
      <c r="C57" s="133"/>
      <c r="D57" s="133"/>
      <c r="E57" s="24"/>
    </row>
    <row r="58" spans="2:5" ht="15.75">
      <c r="B58" s="133"/>
      <c r="C58" s="133"/>
      <c r="D58" s="133"/>
      <c r="E58" s="24"/>
    </row>
    <row r="59" spans="2:5" ht="15.75">
      <c r="B59" s="133"/>
      <c r="C59" s="133"/>
      <c r="D59" s="133"/>
      <c r="E59" s="24"/>
    </row>
    <row r="60" spans="2:5" ht="15.75">
      <c r="B60" s="133"/>
      <c r="C60" s="133"/>
      <c r="D60" s="133"/>
      <c r="E60" s="24"/>
    </row>
    <row r="61" spans="1:5" ht="15.75">
      <c r="A61" s="256" t="s">
        <v>572</v>
      </c>
      <c r="B61" s="133"/>
      <c r="C61" s="133"/>
      <c r="D61" s="133"/>
      <c r="E61" s="24"/>
    </row>
    <row r="62" spans="2:6" ht="21" customHeight="1">
      <c r="B62" s="133"/>
      <c r="C62" s="133"/>
      <c r="D62" s="435" t="s">
        <v>583</v>
      </c>
      <c r="E62" s="435"/>
      <c r="F62" s="435"/>
    </row>
    <row r="63" spans="4:6" ht="21" customHeight="1">
      <c r="D63" s="435"/>
      <c r="E63" s="435"/>
      <c r="F63" s="435"/>
    </row>
    <row r="64" ht="13.5" thickBot="1"/>
    <row r="65" spans="1:3" ht="12.75">
      <c r="A65" s="471" t="s">
        <v>188</v>
      </c>
      <c r="B65" s="472"/>
      <c r="C65" s="473"/>
    </row>
    <row r="66" spans="1:6" ht="13.5" thickBot="1">
      <c r="A66" s="474"/>
      <c r="B66" s="475"/>
      <c r="C66" s="476"/>
      <c r="E66" s="48" t="s">
        <v>192</v>
      </c>
      <c r="F66" s="236">
        <v>3</v>
      </c>
    </row>
    <row r="67" spans="1:3" ht="21" thickBot="1">
      <c r="A67" s="50"/>
      <c r="B67" s="50"/>
      <c r="C67" s="50"/>
    </row>
    <row r="68" spans="1:6" ht="13.5" thickBot="1">
      <c r="A68" s="46"/>
      <c r="B68" s="46"/>
      <c r="C68" s="46"/>
      <c r="D68" s="477" t="s">
        <v>194</v>
      </c>
      <c r="E68" s="478"/>
      <c r="F68" s="47"/>
    </row>
    <row r="69" spans="1:6" ht="13.5" thickBot="1">
      <c r="A69" s="143" t="s">
        <v>189</v>
      </c>
      <c r="B69" s="143" t="s">
        <v>190</v>
      </c>
      <c r="C69" s="143" t="s">
        <v>191</v>
      </c>
      <c r="D69" s="143" t="s">
        <v>193</v>
      </c>
      <c r="E69" s="143" t="s">
        <v>195</v>
      </c>
      <c r="F69" s="143" t="s">
        <v>196</v>
      </c>
    </row>
    <row r="70" spans="1:6" ht="12.75">
      <c r="A70" s="151">
        <v>0</v>
      </c>
      <c r="B70" s="150">
        <v>0</v>
      </c>
      <c r="C70" s="146">
        <f>F10+F12+F14</f>
        <v>426971.8</v>
      </c>
      <c r="D70" s="142">
        <f>B70/(1+$A70*$F$66/100)</f>
        <v>0</v>
      </c>
      <c r="E70" s="144">
        <f>C70/(1+$A70*$F$66/100)</f>
        <v>426971.8</v>
      </c>
      <c r="F70" s="145">
        <f>D70-E70</f>
        <v>-426971.8</v>
      </c>
    </row>
    <row r="71" spans="1:6" ht="12.75">
      <c r="A71" s="152">
        <v>1</v>
      </c>
      <c r="B71" s="148">
        <f>Datos!$C$14*$B$88</f>
        <v>1182000</v>
      </c>
      <c r="C71" s="147">
        <f>F16+F18+F20+F24+F22-Indir!C16+Indir!F19</f>
        <v>1303194.113367423</v>
      </c>
      <c r="D71" s="140">
        <f>B71/(1+$A71*$F$66/100)</f>
        <v>1147572.8155339805</v>
      </c>
      <c r="E71" s="138">
        <f aca="true" t="shared" si="0" ref="E71:E85">C71/POWER(1+$F$66/100,A71)</f>
        <v>1265237.0032693427</v>
      </c>
      <c r="F71" s="140">
        <f aca="true" t="shared" si="1" ref="F71:F85">D71-E71</f>
        <v>-117664.18773536221</v>
      </c>
    </row>
    <row r="72" spans="1:6" ht="12.75">
      <c r="A72" s="153">
        <v>2</v>
      </c>
      <c r="B72" s="148">
        <f>Datos!$C$14*$B$88</f>
        <v>1182000</v>
      </c>
      <c r="C72" s="148">
        <f>$E$41*POWER(1+$F$66/100,A72)+Indir!F23</f>
        <v>1101467.425354348</v>
      </c>
      <c r="D72" s="140">
        <f aca="true" t="shared" si="2" ref="D72:D85">B72/POWER(1+$F$66/100,A72)</f>
        <v>1114148.3645960977</v>
      </c>
      <c r="E72" s="138">
        <f t="shared" si="0"/>
        <v>1038238.6891830974</v>
      </c>
      <c r="F72" s="140">
        <f t="shared" si="1"/>
        <v>75909.67541300028</v>
      </c>
    </row>
    <row r="73" spans="1:6" ht="12.75">
      <c r="A73" s="153">
        <v>3</v>
      </c>
      <c r="B73" s="148">
        <f>Datos!$C$14*$B$88</f>
        <v>1182000</v>
      </c>
      <c r="C73" s="148">
        <f>$E$41*POWER(1+$F$66/100,A73)+Indir!F27</f>
        <v>1137315.8154657092</v>
      </c>
      <c r="D73" s="140">
        <f t="shared" si="2"/>
        <v>1081697.4413554347</v>
      </c>
      <c r="E73" s="138">
        <f t="shared" si="0"/>
        <v>1040805.0825738809</v>
      </c>
      <c r="F73" s="140">
        <f t="shared" si="1"/>
        <v>40892.358781553805</v>
      </c>
    </row>
    <row r="74" spans="1:6" ht="12.75">
      <c r="A74" s="154">
        <v>4</v>
      </c>
      <c r="B74" s="148">
        <f>Datos!$C$14*$B$88</f>
        <v>1182000</v>
      </c>
      <c r="C74" s="148">
        <f>$E$41*POWER(1+$F$66/100,A74)+Indir!F31</f>
        <v>1174351.8319744407</v>
      </c>
      <c r="D74" s="140">
        <f t="shared" si="2"/>
        <v>1050191.6906363443</v>
      </c>
      <c r="E74" s="138">
        <f t="shared" si="0"/>
        <v>1043396.3924053521</v>
      </c>
      <c r="F74" s="140">
        <f t="shared" si="1"/>
        <v>6795.2982309921645</v>
      </c>
    </row>
    <row r="75" spans="1:6" ht="12.75">
      <c r="A75" s="154">
        <v>5</v>
      </c>
      <c r="B75" s="148">
        <f>Datos!$C$14*$B$88</f>
        <v>1182000</v>
      </c>
      <c r="C75" s="148">
        <f>$E$41*POWER(1+$F$66/100,A75)+Indir!F35</f>
        <v>1212615.5906602242</v>
      </c>
      <c r="D75" s="140">
        <f t="shared" si="2"/>
        <v>1019603.583142082</v>
      </c>
      <c r="E75" s="138">
        <f t="shared" si="0"/>
        <v>1046012.8605847012</v>
      </c>
      <c r="F75" s="140">
        <f t="shared" si="1"/>
        <v>-26409.277442619205</v>
      </c>
    </row>
    <row r="76" spans="1:6" ht="12.75">
      <c r="A76" s="154">
        <v>6</v>
      </c>
      <c r="B76" s="148">
        <f>Datos!$C$14*$B$88</f>
        <v>1182000</v>
      </c>
      <c r="C76" s="148">
        <f>$E$41*POWER(1+$F$66/100,A76)+Indir!G19</f>
        <v>924077.2751919536</v>
      </c>
      <c r="D76" s="140">
        <f t="shared" si="2"/>
        <v>989906.3914000795</v>
      </c>
      <c r="E76" s="138">
        <f t="shared" si="0"/>
        <v>773900.1699323901</v>
      </c>
      <c r="F76" s="140">
        <f t="shared" si="1"/>
        <v>216006.22146768938</v>
      </c>
    </row>
    <row r="77" spans="1:6" ht="12.75">
      <c r="A77" s="154">
        <v>7</v>
      </c>
      <c r="B77" s="148">
        <f>Datos!$C$14*$B$88</f>
        <v>1182000</v>
      </c>
      <c r="C77" s="148">
        <f>$E$41*POWER(1+$F$66/100,A77)+Indir!G23</f>
        <v>951799.5934477124</v>
      </c>
      <c r="D77" s="140">
        <f t="shared" si="2"/>
        <v>961074.1664078442</v>
      </c>
      <c r="E77" s="138">
        <f t="shared" si="0"/>
        <v>773900.1699323901</v>
      </c>
      <c r="F77" s="140">
        <f t="shared" si="1"/>
        <v>187173.99647545407</v>
      </c>
    </row>
    <row r="78" spans="1:6" ht="12.75">
      <c r="A78" s="154">
        <v>8</v>
      </c>
      <c r="B78" s="148">
        <f>Datos!$C$14*$B$88</f>
        <v>1182000</v>
      </c>
      <c r="C78" s="148">
        <f>$E$41*POWER(1+$F$66/100,A78)+Indir!G27</f>
        <v>980353.5812511436</v>
      </c>
      <c r="D78" s="140">
        <f t="shared" si="2"/>
        <v>933081.7149590721</v>
      </c>
      <c r="E78" s="138">
        <f t="shared" si="0"/>
        <v>773900.1699323901</v>
      </c>
      <c r="F78" s="140">
        <f t="shared" si="1"/>
        <v>159181.54502668197</v>
      </c>
    </row>
    <row r="79" spans="1:6" ht="12.75">
      <c r="A79" s="154">
        <v>9</v>
      </c>
      <c r="B79" s="148">
        <f>Datos!$C$14*$B$88</f>
        <v>1182000</v>
      </c>
      <c r="C79" s="148">
        <f>$E$41*POWER(1+$F$66/100,A79)+Indir!G31</f>
        <v>1009764.188688678</v>
      </c>
      <c r="D79" s="140">
        <f t="shared" si="2"/>
        <v>905904.577630167</v>
      </c>
      <c r="E79" s="138">
        <f t="shared" si="0"/>
        <v>773900.1699323901</v>
      </c>
      <c r="F79" s="140">
        <f t="shared" si="1"/>
        <v>132004.40769777691</v>
      </c>
    </row>
    <row r="80" spans="1:6" ht="12.75">
      <c r="A80" s="154">
        <v>10</v>
      </c>
      <c r="B80" s="148">
        <f>Datos!$C$14*$B$88</f>
        <v>1182000</v>
      </c>
      <c r="C80" s="148">
        <f>$E$41*POWER(1+$F$66/100,A80)+Indir!G35</f>
        <v>1040057.1143493382</v>
      </c>
      <c r="D80" s="140">
        <f t="shared" si="2"/>
        <v>879519.0074079292</v>
      </c>
      <c r="E80" s="138">
        <f t="shared" si="0"/>
        <v>773900.1699323901</v>
      </c>
      <c r="F80" s="140">
        <f t="shared" si="1"/>
        <v>105618.83747553907</v>
      </c>
    </row>
    <row r="81" spans="1:6" ht="12.75">
      <c r="A81" s="154">
        <v>11</v>
      </c>
      <c r="B81" s="148">
        <f>Datos!$C$14*$B$88</f>
        <v>1182000</v>
      </c>
      <c r="C81" s="148">
        <f>$E$41*POWER(1+$F$66/100,A81)</f>
        <v>1071258.8277798186</v>
      </c>
      <c r="D81" s="140">
        <f t="shared" si="2"/>
        <v>853901.948939737</v>
      </c>
      <c r="E81" s="138">
        <f t="shared" si="0"/>
        <v>773900.1699323902</v>
      </c>
      <c r="F81" s="140">
        <f t="shared" si="1"/>
        <v>80001.77900734683</v>
      </c>
    </row>
    <row r="82" spans="1:6" ht="12.75">
      <c r="A82" s="154">
        <v>12</v>
      </c>
      <c r="B82" s="148">
        <f>Datos!$C$14*$B$88</f>
        <v>1182000</v>
      </c>
      <c r="C82" s="148">
        <f>$E$41*POWER(1+$F$66/100,A82)</f>
        <v>1103396.5926132128</v>
      </c>
      <c r="D82" s="140">
        <f t="shared" si="2"/>
        <v>829031.0183880944</v>
      </c>
      <c r="E82" s="138">
        <f t="shared" si="0"/>
        <v>773900.16993239</v>
      </c>
      <c r="F82" s="140">
        <f t="shared" si="1"/>
        <v>55130.8484557044</v>
      </c>
    </row>
    <row r="83" spans="1:6" ht="12.75">
      <c r="A83" s="154">
        <v>13</v>
      </c>
      <c r="B83" s="148">
        <f>Datos!$C$14*$B$88</f>
        <v>1182000</v>
      </c>
      <c r="C83" s="148">
        <f>$E$41*POWER(1+$F$66/100,A83)</f>
        <v>1136498.4903916093</v>
      </c>
      <c r="D83" s="140">
        <f t="shared" si="2"/>
        <v>804884.4838719363</v>
      </c>
      <c r="E83" s="138">
        <f t="shared" si="0"/>
        <v>773900.1699323901</v>
      </c>
      <c r="F83" s="140">
        <f t="shared" si="1"/>
        <v>30984.313939546235</v>
      </c>
    </row>
    <row r="84" spans="1:6" ht="12.75">
      <c r="A84" s="154">
        <v>14</v>
      </c>
      <c r="B84" s="148">
        <f>Datos!$C$14*$B$88</f>
        <v>1182000</v>
      </c>
      <c r="C84" s="148">
        <f>$E$41*POWER(1+$F$66/100,A84)</f>
        <v>1170593.4451033575</v>
      </c>
      <c r="D84" s="140">
        <f t="shared" si="2"/>
        <v>781441.246477608</v>
      </c>
      <c r="E84" s="138">
        <f t="shared" si="0"/>
        <v>773900.1699323901</v>
      </c>
      <c r="F84" s="140">
        <f t="shared" si="1"/>
        <v>7541.076545217889</v>
      </c>
    </row>
    <row r="85" spans="1:6" ht="13.5" thickBot="1">
      <c r="A85" s="155">
        <v>15</v>
      </c>
      <c r="B85" s="149">
        <f>Datos!$C$14*$B$88</f>
        <v>1182000</v>
      </c>
      <c r="C85" s="149">
        <f>$E$41*POWER(1+$F$66/100,A85)</f>
        <v>1205711.2484564583</v>
      </c>
      <c r="D85" s="141">
        <f t="shared" si="2"/>
        <v>758680.8218229203</v>
      </c>
      <c r="E85" s="139">
        <f t="shared" si="0"/>
        <v>773900.1699323901</v>
      </c>
      <c r="F85" s="141">
        <f t="shared" si="1"/>
        <v>-15219.348109469749</v>
      </c>
    </row>
    <row r="86" ht="12.75">
      <c r="D86" s="49"/>
    </row>
    <row r="87" spans="5:6" ht="16.5" thickBot="1">
      <c r="E87" s="51" t="s">
        <v>197</v>
      </c>
      <c r="F87" s="52">
        <f>IRR(F70:F85)</f>
        <v>0.09684273541545216</v>
      </c>
    </row>
    <row r="88" spans="1:2" ht="13.5" thickBot="1">
      <c r="A88" s="161" t="s">
        <v>384</v>
      </c>
      <c r="B88" s="175">
        <f>Datos!C20</f>
        <v>197</v>
      </c>
    </row>
    <row r="92" ht="12.75">
      <c r="A92" s="256" t="s">
        <v>572</v>
      </c>
    </row>
  </sheetData>
  <sheetProtection password="F5C7" sheet="1" objects="1" scenarios="1" selectLockedCells="1"/>
  <mergeCells count="24">
    <mergeCell ref="A20:D20"/>
    <mergeCell ref="A22:D22"/>
    <mergeCell ref="B36:D36"/>
    <mergeCell ref="B37:D37"/>
    <mergeCell ref="B23:D23"/>
    <mergeCell ref="B35:D35"/>
    <mergeCell ref="A24:E24"/>
    <mergeCell ref="D68:E68"/>
    <mergeCell ref="B27:D28"/>
    <mergeCell ref="A31:C32"/>
    <mergeCell ref="E27:E28"/>
    <mergeCell ref="B41:D42"/>
    <mergeCell ref="E41:E42"/>
    <mergeCell ref="B38:D38"/>
    <mergeCell ref="D5:F6"/>
    <mergeCell ref="D62:F63"/>
    <mergeCell ref="A1:F3"/>
    <mergeCell ref="A65:C66"/>
    <mergeCell ref="A7:C8"/>
    <mergeCell ref="A10:D10"/>
    <mergeCell ref="A18:D18"/>
    <mergeCell ref="A12:D12"/>
    <mergeCell ref="A16:D16"/>
    <mergeCell ref="A14:D14"/>
  </mergeCells>
  <printOptions/>
  <pageMargins left="0.75" right="0.75" top="1" bottom="1" header="0" footer="0"/>
  <pageSetup firstPageNumber="28" useFirstPageNumber="1" horizontalDpi="600" verticalDpi="600" orientation="portrait" paperSize="9" scale="82" r:id="rId2"/>
  <headerFooter alignWithMargins="0">
    <oddHeader>&amp;RMODELO ECONÓMICO MÁRMOL  &amp;P</oddHeader>
  </headerFooter>
  <rowBreaks count="1" manualBreakCount="1">
    <brk id="61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D5" sqref="D5:F6"/>
    </sheetView>
  </sheetViews>
  <sheetFormatPr defaultColWidth="11.421875" defaultRowHeight="12.75"/>
  <cols>
    <col min="1" max="1" width="11.00390625" style="0" customWidth="1"/>
    <col min="3" max="3" width="13.421875" style="0" customWidth="1"/>
    <col min="4" max="4" width="17.28125" style="0" customWidth="1"/>
    <col min="5" max="5" width="16.00390625" style="0" customWidth="1"/>
  </cols>
  <sheetData>
    <row r="1" spans="1:6" ht="12.75" customHeight="1">
      <c r="A1" s="358" t="s">
        <v>525</v>
      </c>
      <c r="B1" s="359"/>
      <c r="C1" s="359"/>
      <c r="D1" s="359"/>
      <c r="E1" s="359"/>
      <c r="F1" s="360"/>
    </row>
    <row r="2" spans="1:6" ht="12.75" customHeight="1">
      <c r="A2" s="361"/>
      <c r="B2" s="362"/>
      <c r="C2" s="362"/>
      <c r="D2" s="362"/>
      <c r="E2" s="362"/>
      <c r="F2" s="363"/>
    </row>
    <row r="3" spans="1:6" ht="13.5" customHeight="1" thickBot="1">
      <c r="A3" s="364"/>
      <c r="B3" s="365"/>
      <c r="C3" s="365"/>
      <c r="D3" s="365"/>
      <c r="E3" s="365"/>
      <c r="F3" s="366"/>
    </row>
    <row r="5" spans="4:6" ht="21" customHeight="1">
      <c r="D5" s="435" t="s">
        <v>583</v>
      </c>
      <c r="E5" s="435"/>
      <c r="F5" s="435"/>
    </row>
    <row r="6" spans="4:6" ht="21" customHeight="1">
      <c r="D6" s="435"/>
      <c r="E6" s="435"/>
      <c r="F6" s="435"/>
    </row>
    <row r="7" ht="13.5" thickBot="1"/>
    <row r="8" spans="1:6" ht="16.5" thickBot="1">
      <c r="A8" s="503" t="s">
        <v>522</v>
      </c>
      <c r="B8" s="504"/>
      <c r="C8" s="498" t="str">
        <f>Datos!C8</f>
        <v>SP10</v>
      </c>
      <c r="D8" s="499"/>
      <c r="E8" s="499"/>
      <c r="F8" s="500"/>
    </row>
    <row r="9" spans="1:6" ht="16.5" thickBot="1">
      <c r="A9" s="503" t="s">
        <v>523</v>
      </c>
      <c r="B9" s="504"/>
      <c r="C9" s="498" t="str">
        <f>Datos!C9</f>
        <v>Sierra de la Puerta (Cehegín)</v>
      </c>
      <c r="D9" s="499"/>
      <c r="E9" s="499"/>
      <c r="F9" s="500"/>
    </row>
    <row r="10" spans="1:6" ht="16.5" thickBot="1">
      <c r="A10" s="503" t="s">
        <v>524</v>
      </c>
      <c r="B10" s="504"/>
      <c r="C10" s="498" t="str">
        <f>Datos!C10</f>
        <v>Crema</v>
      </c>
      <c r="D10" s="499"/>
      <c r="E10" s="499"/>
      <c r="F10" s="500"/>
    </row>
    <row r="11" spans="2:7" ht="15.75">
      <c r="B11" s="188"/>
      <c r="C11" s="188"/>
      <c r="D11" s="189"/>
      <c r="E11" s="189"/>
      <c r="F11" s="189"/>
      <c r="G11" s="189"/>
    </row>
    <row r="12" spans="1:4" ht="12.75">
      <c r="A12" s="487" t="s">
        <v>532</v>
      </c>
      <c r="B12" s="488"/>
      <c r="C12" s="488"/>
      <c r="D12" s="489"/>
    </row>
    <row r="13" spans="1:4" ht="12.75">
      <c r="A13" s="490"/>
      <c r="B13" s="491"/>
      <c r="C13" s="491"/>
      <c r="D13" s="492"/>
    </row>
    <row r="14" spans="1:4" ht="12.75">
      <c r="A14" s="493"/>
      <c r="B14" s="494"/>
      <c r="C14" s="494"/>
      <c r="D14" s="495"/>
    </row>
    <row r="16" spans="3:5" ht="12.75">
      <c r="C16" s="497" t="s">
        <v>533</v>
      </c>
      <c r="D16" s="497"/>
      <c r="E16" s="103">
        <f>Sumi!E9</f>
        <v>3.220266666666667</v>
      </c>
    </row>
    <row r="17" spans="3:5" ht="12.75">
      <c r="C17" s="497" t="s">
        <v>534</v>
      </c>
      <c r="D17" s="497"/>
      <c r="E17" s="103">
        <f>Sumi!E10</f>
        <v>1.752</v>
      </c>
    </row>
    <row r="18" spans="3:5" ht="12.75">
      <c r="C18" s="497" t="s">
        <v>535</v>
      </c>
      <c r="D18" s="497"/>
      <c r="E18" s="103">
        <f>Sumi!E11</f>
        <v>1.0666666666666667</v>
      </c>
    </row>
    <row r="19" spans="3:5" ht="12.75">
      <c r="C19" s="497" t="s">
        <v>536</v>
      </c>
      <c r="D19" s="497"/>
      <c r="E19" s="103">
        <f>Sumi!E12</f>
        <v>0.04666666666666667</v>
      </c>
    </row>
    <row r="20" spans="3:5" ht="12.75">
      <c r="C20" s="497" t="s">
        <v>537</v>
      </c>
      <c r="D20" s="497"/>
      <c r="E20" s="103">
        <f>Sumi!E13</f>
        <v>0.308</v>
      </c>
    </row>
    <row r="21" spans="3:5" ht="12.75">
      <c r="C21" s="497" t="s">
        <v>538</v>
      </c>
      <c r="D21" s="497"/>
      <c r="E21" s="103">
        <f>Sumi!E14</f>
        <v>1.9312032</v>
      </c>
    </row>
    <row r="22" spans="3:5" ht="12.75">
      <c r="C22" s="497" t="s">
        <v>539</v>
      </c>
      <c r="D22" s="497"/>
      <c r="E22" s="103">
        <f>Sumi!E15</f>
        <v>10.993891373333334</v>
      </c>
    </row>
    <row r="23" spans="3:5" ht="12.75">
      <c r="C23" s="497" t="s">
        <v>540</v>
      </c>
      <c r="D23" s="497"/>
      <c r="E23" s="103">
        <f>Sumi!E16</f>
        <v>3.232922583333333</v>
      </c>
    </row>
    <row r="24" spans="3:5" ht="12.75">
      <c r="C24" s="497" t="s">
        <v>541</v>
      </c>
      <c r="D24" s="497"/>
      <c r="E24" s="103">
        <f>Sumi!E17</f>
        <v>6.50025</v>
      </c>
    </row>
    <row r="25" spans="3:5" ht="12.75">
      <c r="C25" s="497" t="s">
        <v>542</v>
      </c>
      <c r="D25" s="497"/>
      <c r="E25" s="103">
        <f>Sumi!E18</f>
        <v>1.766</v>
      </c>
    </row>
    <row r="26" spans="3:5" ht="12.75">
      <c r="C26" s="497" t="s">
        <v>543</v>
      </c>
      <c r="D26" s="497"/>
      <c r="E26" s="103">
        <f>Sumi!E19</f>
        <v>20</v>
      </c>
    </row>
    <row r="27" spans="3:5" ht="12.75">
      <c r="C27" s="239"/>
      <c r="D27" s="243" t="s">
        <v>377</v>
      </c>
      <c r="E27" s="244">
        <f>E16+E17+E18+E19+E20+E21+E22+E23+E24+E25+E26</f>
        <v>50.817867156666665</v>
      </c>
    </row>
    <row r="28" ht="12.75">
      <c r="E28" s="5"/>
    </row>
    <row r="30" spans="1:4" ht="12.75">
      <c r="A30" s="487" t="s">
        <v>546</v>
      </c>
      <c r="B30" s="488"/>
      <c r="C30" s="488"/>
      <c r="D30" s="489"/>
    </row>
    <row r="31" spans="1:4" ht="12.75">
      <c r="A31" s="490"/>
      <c r="B31" s="491"/>
      <c r="C31" s="491"/>
      <c r="D31" s="492"/>
    </row>
    <row r="32" spans="1:4" ht="12.75">
      <c r="A32" s="493"/>
      <c r="B32" s="494"/>
      <c r="C32" s="494"/>
      <c r="D32" s="495"/>
    </row>
    <row r="34" spans="3:5" ht="12.75">
      <c r="C34" s="501" t="s">
        <v>553</v>
      </c>
      <c r="D34" s="501"/>
      <c r="E34" s="162">
        <f>E39/Datos!F19</f>
        <v>324.55893479253086</v>
      </c>
    </row>
    <row r="35" spans="3:6" ht="12.75">
      <c r="C35" s="501" t="s">
        <v>566</v>
      </c>
      <c r="D35" s="501"/>
      <c r="E35" s="162">
        <f>1000*E39/(Datos!C14*Datos!C16)</f>
        <v>32.455893479253085</v>
      </c>
      <c r="F35" s="18" t="s">
        <v>577</v>
      </c>
    </row>
    <row r="36" spans="1:5" s="127" customFormat="1" ht="12.75">
      <c r="A36" s="505" t="s">
        <v>580</v>
      </c>
      <c r="B36" s="506"/>
      <c r="C36" s="497" t="s">
        <v>374</v>
      </c>
      <c r="D36" s="497"/>
      <c r="E36" s="82">
        <f>Datos!C14</f>
        <v>6000</v>
      </c>
    </row>
    <row r="37" spans="1:6" s="127" customFormat="1" ht="12.75">
      <c r="A37" s="190" t="s">
        <v>581</v>
      </c>
      <c r="B37" s="262">
        <f>'M.O.'!F27</f>
        <v>666.67</v>
      </c>
      <c r="C37" s="497" t="s">
        <v>549</v>
      </c>
      <c r="D37" s="497"/>
      <c r="E37" s="82">
        <f>Datos!C15</f>
        <v>25</v>
      </c>
      <c r="F37" s="260" t="s">
        <v>579</v>
      </c>
    </row>
    <row r="38" spans="1:6" s="127" customFormat="1" ht="12.75">
      <c r="A38" s="190"/>
      <c r="B38" s="190"/>
      <c r="C38" s="497" t="s">
        <v>548</v>
      </c>
      <c r="D38" s="497"/>
      <c r="E38" s="162">
        <f>Datos!C20</f>
        <v>197</v>
      </c>
      <c r="F38" s="261">
        <f>ROUND(E35+E41,2)</f>
        <v>161.44</v>
      </c>
    </row>
    <row r="39" spans="3:5" ht="12.75">
      <c r="C39" s="497" t="s">
        <v>554</v>
      </c>
      <c r="D39" s="502"/>
      <c r="E39" s="84">
        <f>PPTO!E27/1000</f>
        <v>2921.0304131327775</v>
      </c>
    </row>
    <row r="40" spans="3:5" ht="12.75">
      <c r="C40" s="497" t="s">
        <v>544</v>
      </c>
      <c r="D40" s="497"/>
      <c r="E40" s="84">
        <f>PPTO!E41</f>
        <v>773900.1699323901</v>
      </c>
    </row>
    <row r="41" spans="3:6" ht="12.75">
      <c r="C41" s="346" t="s">
        <v>552</v>
      </c>
      <c r="D41" s="346"/>
      <c r="E41" s="162">
        <f>ROUND(PPTO!E43,2)</f>
        <v>128.98</v>
      </c>
      <c r="F41" s="18" t="s">
        <v>578</v>
      </c>
    </row>
    <row r="42" spans="3:5" ht="12.75">
      <c r="C42" s="496" t="s">
        <v>545</v>
      </c>
      <c r="D42" s="496"/>
      <c r="E42" s="250">
        <f>PPTO!F87</f>
        <v>0.09684273541545216</v>
      </c>
    </row>
    <row r="44" spans="3:4" ht="12.75">
      <c r="C44" s="239"/>
      <c r="D44" s="239"/>
    </row>
    <row r="45" spans="1:4" ht="12.75" customHeight="1">
      <c r="A45" s="487" t="s">
        <v>551</v>
      </c>
      <c r="B45" s="488"/>
      <c r="C45" s="488"/>
      <c r="D45" s="489"/>
    </row>
    <row r="46" spans="1:4" ht="12.75">
      <c r="A46" s="490"/>
      <c r="B46" s="491"/>
      <c r="C46" s="491"/>
      <c r="D46" s="492"/>
    </row>
    <row r="47" spans="1:4" ht="12.75">
      <c r="A47" s="493"/>
      <c r="B47" s="494"/>
      <c r="C47" s="494"/>
      <c r="D47" s="495"/>
    </row>
    <row r="48" spans="3:4" ht="12.75">
      <c r="C48" s="239"/>
      <c r="D48" s="239"/>
    </row>
    <row r="49" spans="3:5" ht="12.75">
      <c r="C49" s="322" t="s">
        <v>555</v>
      </c>
      <c r="D49" s="323"/>
      <c r="E49" s="82">
        <f>Datos!F16</f>
        <v>25</v>
      </c>
    </row>
    <row r="50" spans="3:5" ht="12.75">
      <c r="C50" s="322" t="s">
        <v>556</v>
      </c>
      <c r="D50" s="323"/>
      <c r="E50" s="82">
        <f>IF(Datos!C17&gt;100,100,IF(Datos!C17&gt;70,80,IF(Datos!C17&gt;40,50,20)))</f>
        <v>50</v>
      </c>
    </row>
    <row r="51" spans="3:5" ht="12.75">
      <c r="C51" s="342" t="s">
        <v>557</v>
      </c>
      <c r="D51" s="342"/>
      <c r="E51" s="82">
        <f>IF(Terr!C9&gt;5,100,IF(Terr!C9&gt;3,70,IF(Terr!C9&gt;1,40,20)))</f>
        <v>40</v>
      </c>
    </row>
    <row r="52" spans="3:5" ht="12.75">
      <c r="C52" s="342" t="s">
        <v>558</v>
      </c>
      <c r="D52" s="342"/>
      <c r="E52" s="82">
        <f>IF(Datos!E21=1,100,IF(Datos!E21=2,80,IF(Datos!E21=3,40,10)))</f>
        <v>40</v>
      </c>
    </row>
    <row r="53" spans="3:5" ht="12.75">
      <c r="C53" s="346" t="s">
        <v>559</v>
      </c>
      <c r="D53" s="346"/>
      <c r="E53" s="249">
        <f>ROUND(POWER(E50*E51*E52,0.333),1)</f>
        <v>42.9</v>
      </c>
    </row>
    <row r="56" ht="12.75">
      <c r="A56" s="256" t="s">
        <v>572</v>
      </c>
    </row>
  </sheetData>
  <sheetProtection password="F5C7" sheet="1" objects="1" scenarios="1" selectLockedCells="1"/>
  <mergeCells count="37">
    <mergeCell ref="A36:B36"/>
    <mergeCell ref="A10:B10"/>
    <mergeCell ref="C21:D21"/>
    <mergeCell ref="C22:D22"/>
    <mergeCell ref="A12:D14"/>
    <mergeCell ref="C26:D26"/>
    <mergeCell ref="A1:F3"/>
    <mergeCell ref="A8:B8"/>
    <mergeCell ref="C8:F8"/>
    <mergeCell ref="A9:B9"/>
    <mergeCell ref="D5:F6"/>
    <mergeCell ref="C39:D39"/>
    <mergeCell ref="C40:D40"/>
    <mergeCell ref="C34:D34"/>
    <mergeCell ref="C16:D16"/>
    <mergeCell ref="C17:D17"/>
    <mergeCell ref="C36:D36"/>
    <mergeCell ref="A30:D32"/>
    <mergeCell ref="C23:D23"/>
    <mergeCell ref="C24:D24"/>
    <mergeCell ref="C25:D25"/>
    <mergeCell ref="C38:D38"/>
    <mergeCell ref="C37:D37"/>
    <mergeCell ref="C9:F9"/>
    <mergeCell ref="C20:D20"/>
    <mergeCell ref="C10:F10"/>
    <mergeCell ref="C18:D18"/>
    <mergeCell ref="C19:D19"/>
    <mergeCell ref="C35:D35"/>
    <mergeCell ref="C52:D52"/>
    <mergeCell ref="C53:D53"/>
    <mergeCell ref="C41:D41"/>
    <mergeCell ref="C49:D49"/>
    <mergeCell ref="A45:D47"/>
    <mergeCell ref="C50:D50"/>
    <mergeCell ref="C51:D51"/>
    <mergeCell ref="C42:D42"/>
  </mergeCells>
  <printOptions/>
  <pageMargins left="0.75" right="0.75" top="1" bottom="1" header="0" footer="0"/>
  <pageSetup firstPageNumber="30" useFirstPageNumber="1" horizontalDpi="600" verticalDpi="600" orientation="portrait" paperSize="9" scale="95" r:id="rId4"/>
  <headerFooter alignWithMargins="0">
    <oddHeader>&amp;RMODELO ECONÓMICO MÁRMOL  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60" workbookViewId="0" topLeftCell="A4">
      <selection activeCell="D54" sqref="D54"/>
    </sheetView>
  </sheetViews>
  <sheetFormatPr defaultColWidth="11.421875" defaultRowHeight="12.75"/>
  <cols>
    <col min="1" max="1" width="10.421875" style="0" customWidth="1"/>
    <col min="2" max="2" width="18.8515625" style="0" customWidth="1"/>
    <col min="3" max="3" width="18.7109375" style="0" customWidth="1"/>
    <col min="4" max="4" width="14.8515625" style="0" customWidth="1"/>
    <col min="5" max="5" width="13.8515625" style="0" customWidth="1"/>
    <col min="6" max="6" width="13.28125" style="0" customWidth="1"/>
  </cols>
  <sheetData>
    <row r="1" spans="1:7" ht="12.75" customHeight="1">
      <c r="A1" s="358" t="s">
        <v>0</v>
      </c>
      <c r="B1" s="359"/>
      <c r="C1" s="359"/>
      <c r="D1" s="359"/>
      <c r="E1" s="359"/>
      <c r="F1" s="360"/>
      <c r="G1" s="9"/>
    </row>
    <row r="2" spans="1:7" ht="12.75" customHeight="1">
      <c r="A2" s="361"/>
      <c r="B2" s="362"/>
      <c r="C2" s="362"/>
      <c r="D2" s="362"/>
      <c r="E2" s="362"/>
      <c r="F2" s="363"/>
      <c r="G2" s="9"/>
    </row>
    <row r="3" spans="1:7" ht="13.5" customHeight="1" thickBot="1">
      <c r="A3" s="364"/>
      <c r="B3" s="365"/>
      <c r="C3" s="365"/>
      <c r="D3" s="365"/>
      <c r="E3" s="365"/>
      <c r="F3" s="366"/>
      <c r="G3" s="9"/>
    </row>
    <row r="4" spans="4:6" ht="21" customHeight="1">
      <c r="D4" s="351" t="s">
        <v>585</v>
      </c>
      <c r="E4" s="351"/>
      <c r="F4" s="351"/>
    </row>
    <row r="5" spans="3:6" ht="21" customHeight="1">
      <c r="C5" s="241"/>
      <c r="D5" s="351"/>
      <c r="E5" s="351"/>
      <c r="F5" s="351"/>
    </row>
    <row r="7" spans="1:4" ht="12.75">
      <c r="A7" s="342" t="s">
        <v>4</v>
      </c>
      <c r="B7" s="342"/>
      <c r="C7" s="80">
        <f>Datos!C14</f>
        <v>6000</v>
      </c>
      <c r="D7" s="367">
        <f>C7/C8</f>
        <v>240</v>
      </c>
    </row>
    <row r="8" spans="1:4" ht="12.75">
      <c r="A8" s="342" t="s">
        <v>2</v>
      </c>
      <c r="B8" s="342"/>
      <c r="C8" s="80">
        <f>Datos!C15</f>
        <v>25</v>
      </c>
      <c r="D8" s="367"/>
    </row>
    <row r="9" spans="1:3" ht="12.75">
      <c r="A9" s="342" t="s">
        <v>3</v>
      </c>
      <c r="B9" s="342"/>
      <c r="C9" s="80">
        <f>Datos!C16</f>
        <v>15</v>
      </c>
    </row>
    <row r="10" spans="1:3" ht="12.75">
      <c r="A10" s="342" t="s">
        <v>98</v>
      </c>
      <c r="B10" s="342"/>
      <c r="C10" s="80">
        <f>Datos!C17/2</f>
        <v>22.9</v>
      </c>
    </row>
    <row r="14" spans="1:5" ht="12.75">
      <c r="A14" s="368" t="s">
        <v>515</v>
      </c>
      <c r="B14" s="369"/>
      <c r="C14" s="370"/>
      <c r="D14" s="82">
        <f>ROUND((100*C7/C8)*C9,1)</f>
        <v>360000</v>
      </c>
      <c r="E14" s="182" t="s">
        <v>514</v>
      </c>
    </row>
    <row r="17" spans="1:5" ht="12.75">
      <c r="A17" s="265" t="s">
        <v>516</v>
      </c>
      <c r="B17" s="265"/>
      <c r="C17" s="371"/>
      <c r="D17" s="82">
        <f>Datos!C18*10000</f>
        <v>15700</v>
      </c>
      <c r="E17" s="1"/>
    </row>
    <row r="19" ht="13.5" thickBot="1"/>
    <row r="20" spans="2:3" ht="20.25" customHeight="1" thickBot="1">
      <c r="B20" s="372" t="s">
        <v>31</v>
      </c>
      <c r="C20" s="373"/>
    </row>
    <row r="23" spans="1:6" ht="12.75">
      <c r="A23" s="342" t="s">
        <v>5</v>
      </c>
      <c r="B23" s="342"/>
      <c r="C23" s="191">
        <v>60</v>
      </c>
      <c r="D23" s="352" t="s">
        <v>519</v>
      </c>
      <c r="E23" s="336"/>
      <c r="F23" t="s">
        <v>224</v>
      </c>
    </row>
    <row r="24" spans="1:3" ht="12.75">
      <c r="A24" s="322" t="s">
        <v>6</v>
      </c>
      <c r="B24" s="323"/>
      <c r="C24" s="82">
        <f>C10</f>
        <v>22.9</v>
      </c>
    </row>
    <row r="25" spans="1:4" ht="12.75">
      <c r="A25" s="342" t="s">
        <v>517</v>
      </c>
      <c r="B25" s="342"/>
      <c r="C25" s="192">
        <v>1000</v>
      </c>
      <c r="D25" s="181" t="s">
        <v>518</v>
      </c>
    </row>
    <row r="27" spans="2:3" ht="12.75">
      <c r="B27" s="4" t="s">
        <v>7</v>
      </c>
      <c r="C27" s="83">
        <f>Datos!C18*10000/Invest!C25</f>
        <v>15.7</v>
      </c>
    </row>
    <row r="30" spans="2:3" ht="12.75">
      <c r="B30" s="4" t="s">
        <v>8</v>
      </c>
      <c r="C30" s="83">
        <f>C27*C24</f>
        <v>359.53</v>
      </c>
    </row>
    <row r="32" spans="2:4" ht="12.75">
      <c r="B32" s="374" t="s">
        <v>20</v>
      </c>
      <c r="C32" s="375"/>
      <c r="D32" s="84">
        <f>C30*C23</f>
        <v>21571.8</v>
      </c>
    </row>
    <row r="35" ht="13.5" thickBot="1">
      <c r="C35" s="15"/>
    </row>
    <row r="36" spans="1:3" ht="21" customHeight="1" thickBot="1">
      <c r="A36" s="6"/>
      <c r="B36" s="372" t="s">
        <v>21</v>
      </c>
      <c r="C36" s="373"/>
    </row>
    <row r="38" spans="2:4" ht="12.75">
      <c r="B38" s="20" t="s">
        <v>23</v>
      </c>
      <c r="C38" s="193">
        <v>2500</v>
      </c>
      <c r="D38" t="s">
        <v>224</v>
      </c>
    </row>
    <row r="41" spans="2:3" ht="12.75">
      <c r="B41" s="17" t="s">
        <v>24</v>
      </c>
      <c r="C41" s="55">
        <f>D17/10000</f>
        <v>1.57</v>
      </c>
    </row>
    <row r="43" spans="2:3" ht="12.75">
      <c r="B43" s="19" t="s">
        <v>32</v>
      </c>
      <c r="C43" s="99">
        <f>IF(C41&lt;1,C38,C41*C38)</f>
        <v>3925</v>
      </c>
    </row>
    <row r="46" ht="13.5" customHeight="1">
      <c r="C46" s="187"/>
    </row>
    <row r="49" ht="13.5" thickBot="1">
      <c r="A49" s="256" t="s">
        <v>572</v>
      </c>
    </row>
    <row r="50" spans="2:3" ht="23.25" customHeight="1" thickBot="1">
      <c r="B50" s="372" t="s">
        <v>22</v>
      </c>
      <c r="C50" s="373"/>
    </row>
    <row r="51" spans="4:6" ht="21" customHeight="1">
      <c r="D51" s="351" t="s">
        <v>585</v>
      </c>
      <c r="E51" s="351"/>
      <c r="F51" s="351"/>
    </row>
    <row r="52" spans="2:6" ht="21" customHeight="1">
      <c r="B52" s="18"/>
      <c r="D52" s="351"/>
      <c r="E52" s="351"/>
      <c r="F52" s="351"/>
    </row>
    <row r="53" ht="12.75">
      <c r="D53" s="7"/>
    </row>
    <row r="54" spans="2:4" ht="12.75">
      <c r="B54" s="346" t="s">
        <v>95</v>
      </c>
      <c r="C54" s="346"/>
      <c r="D54" s="191">
        <v>18000</v>
      </c>
    </row>
    <row r="56" spans="2:4" ht="12.75">
      <c r="B56" s="346" t="s">
        <v>93</v>
      </c>
      <c r="C56" s="346"/>
      <c r="D56" s="191">
        <v>18000</v>
      </c>
    </row>
    <row r="57" ht="12.75">
      <c r="D57" s="240"/>
    </row>
    <row r="58" spans="2:4" ht="12.75">
      <c r="B58" s="346" t="s">
        <v>94</v>
      </c>
      <c r="C58" s="346"/>
      <c r="D58" s="191">
        <v>12000</v>
      </c>
    </row>
    <row r="61" spans="2:4" ht="12.75">
      <c r="B61" s="356" t="s">
        <v>96</v>
      </c>
      <c r="C61" s="357"/>
      <c r="D61" s="84">
        <f>D54+D56+(Datos!C16-1)*D58</f>
        <v>204000</v>
      </c>
    </row>
    <row r="65" ht="13.5" thickBot="1"/>
    <row r="66" spans="1:5" ht="17.25" customHeight="1" thickBot="1">
      <c r="A66" s="353" t="s">
        <v>97</v>
      </c>
      <c r="B66" s="354"/>
      <c r="C66" s="354"/>
      <c r="D66" s="355"/>
      <c r="E66" s="163">
        <f>D61+C46+D32</f>
        <v>225571.8</v>
      </c>
    </row>
    <row r="70" ht="12.75">
      <c r="E70" s="5"/>
    </row>
    <row r="71" spans="1:5" ht="13.5" customHeight="1">
      <c r="A71" s="256" t="s">
        <v>572</v>
      </c>
      <c r="B71" s="34"/>
      <c r="C71" s="34"/>
      <c r="D71" s="34"/>
      <c r="E71" s="62"/>
    </row>
  </sheetData>
  <sheetProtection password="FAC7" sheet="1" objects="1" scenarios="1" selectLockedCells="1"/>
  <mergeCells count="23">
    <mergeCell ref="A8:B8"/>
    <mergeCell ref="D23:E23"/>
    <mergeCell ref="A9:B9"/>
    <mergeCell ref="B50:C50"/>
    <mergeCell ref="B32:C32"/>
    <mergeCell ref="B20:C20"/>
    <mergeCell ref="B36:C36"/>
    <mergeCell ref="A1:F3"/>
    <mergeCell ref="D7:D8"/>
    <mergeCell ref="A24:B24"/>
    <mergeCell ref="A25:B25"/>
    <mergeCell ref="A10:B10"/>
    <mergeCell ref="A14:C14"/>
    <mergeCell ref="A17:C17"/>
    <mergeCell ref="D4:F5"/>
    <mergeCell ref="A23:B23"/>
    <mergeCell ref="A7:B7"/>
    <mergeCell ref="A66:D66"/>
    <mergeCell ref="B54:C54"/>
    <mergeCell ref="B61:C61"/>
    <mergeCell ref="D51:F52"/>
    <mergeCell ref="B56:C56"/>
    <mergeCell ref="B58:C58"/>
  </mergeCells>
  <printOptions/>
  <pageMargins left="0.71" right="0.57" top="1" bottom="1" header="0" footer="0"/>
  <pageSetup firstPageNumber="4" useFirstPageNumber="1" horizontalDpi="600" verticalDpi="600" orientation="portrait" paperSize="9" r:id="rId2"/>
  <headerFooter alignWithMargins="0">
    <oddHeader>&amp;RMODELO ECONÓMICO MÁRMOL  &amp;P</oddHeader>
  </headerFooter>
  <rowBreaks count="1" manualBreakCount="1">
    <brk id="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C18" sqref="C18"/>
    </sheetView>
  </sheetViews>
  <sheetFormatPr defaultColWidth="11.421875" defaultRowHeight="12.75"/>
  <cols>
    <col min="2" max="2" width="25.00390625" style="0" customWidth="1"/>
    <col min="3" max="3" width="15.00390625" style="0" customWidth="1"/>
    <col min="4" max="4" width="14.28125" style="0" customWidth="1"/>
    <col min="5" max="5" width="16.28125" style="0" customWidth="1"/>
    <col min="6" max="6" width="10.28125" style="0" customWidth="1"/>
  </cols>
  <sheetData>
    <row r="1" spans="1:5" ht="12.75" customHeight="1">
      <c r="A1" s="381" t="s">
        <v>1</v>
      </c>
      <c r="B1" s="382"/>
      <c r="C1" s="382"/>
      <c r="D1" s="382"/>
      <c r="E1" s="383"/>
    </row>
    <row r="2" spans="1:5" ht="12.75" customHeight="1">
      <c r="A2" s="384"/>
      <c r="B2" s="385"/>
      <c r="C2" s="385"/>
      <c r="D2" s="385"/>
      <c r="E2" s="386"/>
    </row>
    <row r="3" spans="1:5" ht="13.5" customHeight="1" thickBot="1">
      <c r="A3" s="387"/>
      <c r="B3" s="388"/>
      <c r="C3" s="388"/>
      <c r="D3" s="388"/>
      <c r="E3" s="389"/>
    </row>
    <row r="5" spans="4:6" ht="21" customHeight="1">
      <c r="D5" s="351" t="s">
        <v>583</v>
      </c>
      <c r="E5" s="351"/>
      <c r="F5" s="351"/>
    </row>
    <row r="6" spans="1:6" ht="21" customHeight="1">
      <c r="A6" s="5"/>
      <c r="B6" s="5"/>
      <c r="C6" s="5"/>
      <c r="D6" s="351"/>
      <c r="E6" s="351"/>
      <c r="F6" s="351"/>
    </row>
    <row r="7" spans="5:7" ht="14.25" customHeight="1">
      <c r="E7" s="8"/>
      <c r="F7" s="14"/>
      <c r="G7" s="8"/>
    </row>
    <row r="8" ht="13.5" thickBot="1"/>
    <row r="9" spans="1:3" ht="15.75" thickBot="1">
      <c r="A9" s="390" t="s">
        <v>25</v>
      </c>
      <c r="B9" s="391"/>
      <c r="C9" s="86">
        <f>Datos!C18</f>
        <v>1.57</v>
      </c>
    </row>
    <row r="10" spans="1:2" ht="13.5" thickBot="1">
      <c r="A10" s="160"/>
      <c r="B10" s="160"/>
    </row>
    <row r="11" spans="1:3" ht="15.75" thickBot="1">
      <c r="A11" s="390" t="s">
        <v>26</v>
      </c>
      <c r="B11" s="391"/>
      <c r="C11" s="87">
        <f>IF(C9/4&gt;1,C9/4,1)</f>
        <v>1</v>
      </c>
    </row>
    <row r="12" spans="1:2" ht="13.5" thickBot="1">
      <c r="A12" s="160"/>
      <c r="B12" s="160"/>
    </row>
    <row r="13" spans="1:3" ht="15.75" thickBot="1">
      <c r="A13" s="390" t="s">
        <v>28</v>
      </c>
      <c r="B13" s="391"/>
      <c r="C13" s="87">
        <f>IF(Datos!D52=0,Datos!C52,Datos!D52)</f>
        <v>3</v>
      </c>
    </row>
    <row r="15" spans="2:3" ht="12.75">
      <c r="B15" s="5"/>
      <c r="C15" s="5"/>
    </row>
    <row r="16" spans="2:4" ht="12.75">
      <c r="B16" s="10"/>
      <c r="C16" s="10"/>
      <c r="D16" s="10"/>
    </row>
    <row r="18" spans="2:3" ht="12.75">
      <c r="B18" s="66" t="s">
        <v>29</v>
      </c>
      <c r="C18" s="209">
        <v>10000</v>
      </c>
    </row>
    <row r="22" spans="2:5" ht="23.25" customHeight="1">
      <c r="B22" s="377" t="s">
        <v>101</v>
      </c>
      <c r="C22" s="378"/>
      <c r="D22" s="379"/>
      <c r="E22" s="89">
        <f>ROUNDUP(C9+C11+C13,1)</f>
        <v>5.6</v>
      </c>
    </row>
    <row r="23" spans="2:5" ht="12.75">
      <c r="B23" s="380" t="s">
        <v>100</v>
      </c>
      <c r="C23" s="380"/>
      <c r="D23" s="380"/>
      <c r="E23" s="394">
        <v>7</v>
      </c>
    </row>
    <row r="24" spans="2:5" ht="12.75">
      <c r="B24" s="380"/>
      <c r="C24" s="380"/>
      <c r="D24" s="380"/>
      <c r="E24" s="395"/>
    </row>
    <row r="25" spans="2:5" ht="12.75">
      <c r="B25" s="380" t="s">
        <v>565</v>
      </c>
      <c r="C25" s="380"/>
      <c r="D25" s="380"/>
      <c r="E25" s="392">
        <f>IF(E23=0,E22,E23)</f>
        <v>7</v>
      </c>
    </row>
    <row r="26" spans="2:5" ht="12.75">
      <c r="B26" s="380"/>
      <c r="C26" s="380"/>
      <c r="D26" s="380"/>
      <c r="E26" s="393"/>
    </row>
    <row r="27" spans="3:5" ht="12.75">
      <c r="C27" s="5"/>
      <c r="E27" s="1"/>
    </row>
    <row r="28" spans="3:5" ht="12.75">
      <c r="C28" s="5"/>
      <c r="E28" s="1"/>
    </row>
    <row r="29" spans="2:6" ht="18.75" customHeight="1">
      <c r="B29" s="376" t="s">
        <v>9</v>
      </c>
      <c r="C29" s="376"/>
      <c r="D29" s="376"/>
      <c r="E29" s="162">
        <f>E25*C18</f>
        <v>70000</v>
      </c>
      <c r="F29" s="7"/>
    </row>
    <row r="30" ht="12.75">
      <c r="C30" s="5"/>
    </row>
    <row r="31" ht="12.75">
      <c r="C31" s="5"/>
    </row>
    <row r="32" spans="3:5" ht="12.75">
      <c r="C32" s="5"/>
      <c r="E32" s="1"/>
    </row>
    <row r="39" ht="12.75">
      <c r="A39" s="256" t="s">
        <v>572</v>
      </c>
    </row>
    <row r="45" ht="12.75">
      <c r="E45" s="6"/>
    </row>
  </sheetData>
  <sheetProtection password="F5C7" sheet="1" objects="1" scenarios="1" selectLockedCells="1"/>
  <protectedRanges>
    <protectedRange sqref="C9" name="Rango1"/>
  </protectedRanges>
  <mergeCells count="11">
    <mergeCell ref="A1:E3"/>
    <mergeCell ref="A13:B13"/>
    <mergeCell ref="B25:D26"/>
    <mergeCell ref="A9:B9"/>
    <mergeCell ref="A11:B11"/>
    <mergeCell ref="E25:E26"/>
    <mergeCell ref="E23:E24"/>
    <mergeCell ref="B29:D29"/>
    <mergeCell ref="B22:D22"/>
    <mergeCell ref="B23:D24"/>
    <mergeCell ref="D5:F6"/>
  </mergeCells>
  <printOptions/>
  <pageMargins left="0.75" right="0.75" top="1" bottom="1" header="0" footer="0"/>
  <pageSetup firstPageNumber="6" useFirstPageNumber="1" horizontalDpi="600" verticalDpi="600" orientation="portrait" paperSize="9" scale="84" r:id="rId2"/>
  <headerFooter alignWithMargins="0">
    <oddHeader>&amp;RMODELO ECONÓMICO MÁRMOL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31">
      <selection activeCell="E56" sqref="E56"/>
    </sheetView>
  </sheetViews>
  <sheetFormatPr defaultColWidth="11.421875" defaultRowHeight="12.75"/>
  <cols>
    <col min="2" max="2" width="14.28125" style="0" customWidth="1"/>
    <col min="3" max="3" width="12.00390625" style="0" bestFit="1" customWidth="1"/>
    <col min="4" max="4" width="11.7109375" style="0" bestFit="1" customWidth="1"/>
    <col min="5" max="5" width="11.8515625" style="0" bestFit="1" customWidth="1"/>
    <col min="6" max="6" width="11.7109375" style="0" bestFit="1" customWidth="1"/>
  </cols>
  <sheetData>
    <row r="1" spans="1:7" ht="12.75">
      <c r="A1" s="358" t="s">
        <v>10</v>
      </c>
      <c r="B1" s="359"/>
      <c r="C1" s="359"/>
      <c r="D1" s="359"/>
      <c r="E1" s="359"/>
      <c r="F1" s="359"/>
      <c r="G1" s="360"/>
    </row>
    <row r="2" spans="1:7" ht="12.75">
      <c r="A2" s="361"/>
      <c r="B2" s="362"/>
      <c r="C2" s="362"/>
      <c r="D2" s="362"/>
      <c r="E2" s="362"/>
      <c r="F2" s="362"/>
      <c r="G2" s="363"/>
    </row>
    <row r="3" spans="1:7" ht="13.5" thickBot="1">
      <c r="A3" s="364"/>
      <c r="B3" s="365"/>
      <c r="C3" s="365"/>
      <c r="D3" s="365"/>
      <c r="E3" s="365"/>
      <c r="F3" s="365"/>
      <c r="G3" s="366"/>
    </row>
    <row r="4" spans="5:7" ht="21" customHeight="1">
      <c r="E4" s="351" t="s">
        <v>583</v>
      </c>
      <c r="F4" s="351"/>
      <c r="G4" s="351"/>
    </row>
    <row r="5" spans="5:7" ht="21" customHeight="1">
      <c r="E5" s="351"/>
      <c r="F5" s="351"/>
      <c r="G5" s="351"/>
    </row>
    <row r="6" ht="13.5" thickBot="1"/>
    <row r="7" spans="1:4" ht="13.5" thickBot="1">
      <c r="A7" s="402" t="s">
        <v>433</v>
      </c>
      <c r="B7" s="403"/>
      <c r="C7" s="403"/>
      <c r="D7" s="404"/>
    </row>
    <row r="8" spans="1:4" s="127" customFormat="1" ht="12.75">
      <c r="A8" s="126"/>
      <c r="B8" s="126"/>
      <c r="C8" s="126"/>
      <c r="D8" s="126"/>
    </row>
    <row r="10" spans="1:4" ht="12.75">
      <c r="A10" s="336" t="s">
        <v>102</v>
      </c>
      <c r="B10" s="336"/>
      <c r="C10" s="336"/>
      <c r="D10" s="211">
        <v>500</v>
      </c>
    </row>
    <row r="11" spans="1:5" ht="12.75">
      <c r="A11" s="336" t="s">
        <v>108</v>
      </c>
      <c r="B11" s="336"/>
      <c r="C11" s="336"/>
      <c r="D11" s="212">
        <v>20</v>
      </c>
      <c r="E11" t="s">
        <v>224</v>
      </c>
    </row>
    <row r="13" spans="1:5" ht="12.75">
      <c r="A13" s="1"/>
      <c r="B13" s="357" t="s">
        <v>109</v>
      </c>
      <c r="C13" s="357"/>
      <c r="D13" s="357"/>
      <c r="E13" s="84">
        <f>D11*D10</f>
        <v>10000</v>
      </c>
    </row>
    <row r="14" spans="1:5" ht="12.75">
      <c r="A14" s="1"/>
      <c r="B14" s="37"/>
      <c r="C14" s="37"/>
      <c r="D14" s="37"/>
      <c r="E14" s="107"/>
    </row>
    <row r="15" spans="1:5" ht="13.5" thickBot="1">
      <c r="A15" s="1"/>
      <c r="B15" s="37"/>
      <c r="C15" s="37"/>
      <c r="D15" s="37"/>
      <c r="E15" s="107"/>
    </row>
    <row r="16" spans="1:5" ht="13.5" thickBot="1">
      <c r="A16" s="402" t="s">
        <v>434</v>
      </c>
      <c r="B16" s="403"/>
      <c r="C16" s="403"/>
      <c r="D16" s="404"/>
      <c r="E16" s="107"/>
    </row>
    <row r="17" spans="1:5" ht="12.75">
      <c r="A17" s="126"/>
      <c r="B17" s="126"/>
      <c r="C17" s="126"/>
      <c r="D17" s="126"/>
      <c r="E17" s="107"/>
    </row>
    <row r="19" spans="1:3" ht="12.75">
      <c r="A19" s="342" t="s">
        <v>103</v>
      </c>
      <c r="B19" s="342"/>
      <c r="C19" s="192">
        <v>50</v>
      </c>
    </row>
    <row r="20" spans="1:3" ht="12.75">
      <c r="A20" s="342" t="s">
        <v>104</v>
      </c>
      <c r="B20" s="342"/>
      <c r="C20" s="192">
        <v>0</v>
      </c>
    </row>
    <row r="21" spans="1:3" ht="12.75">
      <c r="A21" s="342" t="s">
        <v>105</v>
      </c>
      <c r="B21" s="342"/>
      <c r="C21" s="192">
        <v>50</v>
      </c>
    </row>
    <row r="22" spans="1:3" ht="12.75">
      <c r="A22" s="342" t="s">
        <v>107</v>
      </c>
      <c r="B22" s="342"/>
      <c r="C22" s="192">
        <v>0</v>
      </c>
    </row>
    <row r="24" spans="1:4" ht="12.75">
      <c r="A24" s="336" t="s">
        <v>106</v>
      </c>
      <c r="B24" s="336"/>
      <c r="C24" s="336"/>
      <c r="D24" s="55">
        <f>C19+C20+C21+C22</f>
        <v>100</v>
      </c>
    </row>
    <row r="25" spans="1:5" ht="12.75">
      <c r="A25" s="336" t="s">
        <v>44</v>
      </c>
      <c r="B25" s="336"/>
      <c r="C25" s="336"/>
      <c r="D25" s="212">
        <v>60</v>
      </c>
      <c r="E25" t="s">
        <v>224</v>
      </c>
    </row>
    <row r="26" spans="1:4" ht="12.75">
      <c r="A26" s="336" t="s">
        <v>119</v>
      </c>
      <c r="B26" s="336"/>
      <c r="C26" s="336"/>
      <c r="D26" s="213">
        <v>2</v>
      </c>
    </row>
    <row r="27" spans="1:5" ht="12.75">
      <c r="A27" s="336" t="s">
        <v>120</v>
      </c>
      <c r="B27" s="336"/>
      <c r="C27" s="336"/>
      <c r="D27" s="212">
        <v>3000</v>
      </c>
      <c r="E27" t="s">
        <v>224</v>
      </c>
    </row>
    <row r="29" spans="2:5" ht="12.75">
      <c r="B29" s="399" t="s">
        <v>110</v>
      </c>
      <c r="C29" s="400"/>
      <c r="D29" s="401"/>
      <c r="E29" s="84">
        <f>D25*D24+D26*D27</f>
        <v>12000</v>
      </c>
    </row>
    <row r="30" spans="2:5" ht="12.75">
      <c r="B30" s="37"/>
      <c r="C30" s="37"/>
      <c r="D30" s="37"/>
      <c r="E30" s="107"/>
    </row>
    <row r="31" spans="2:5" ht="13.5" thickBot="1">
      <c r="B31" s="37"/>
      <c r="C31" s="37"/>
      <c r="D31" s="37"/>
      <c r="E31" s="107"/>
    </row>
    <row r="32" spans="1:5" ht="13.5" thickBot="1">
      <c r="A32" s="402" t="s">
        <v>435</v>
      </c>
      <c r="B32" s="403"/>
      <c r="C32" s="403"/>
      <c r="D32" s="404"/>
      <c r="E32" s="107"/>
    </row>
    <row r="33" spans="2:5" ht="12.75">
      <c r="B33" s="37"/>
      <c r="C33" s="37"/>
      <c r="D33" s="37"/>
      <c r="E33" s="107"/>
    </row>
    <row r="34" ht="12.75" customHeight="1"/>
    <row r="35" spans="2:5" ht="12.75" customHeight="1">
      <c r="B35" s="399" t="s">
        <v>111</v>
      </c>
      <c r="C35" s="400"/>
      <c r="D35" s="401"/>
      <c r="E35" s="253">
        <v>2400</v>
      </c>
    </row>
    <row r="37" ht="13.5" thickBot="1"/>
    <row r="38" spans="1:4" ht="13.5" thickBot="1">
      <c r="A38" s="402" t="s">
        <v>436</v>
      </c>
      <c r="B38" s="403"/>
      <c r="C38" s="403"/>
      <c r="D38" s="404"/>
    </row>
    <row r="41" spans="2:3" ht="12.75">
      <c r="B41" s="405" t="s">
        <v>112</v>
      </c>
      <c r="C41" s="405"/>
    </row>
    <row r="43" spans="2:3" ht="12.75">
      <c r="B43" s="3" t="s">
        <v>116</v>
      </c>
      <c r="C43" s="209">
        <v>30000</v>
      </c>
    </row>
    <row r="44" spans="2:3" ht="12.75">
      <c r="B44" s="3" t="s">
        <v>113</v>
      </c>
      <c r="C44" s="209">
        <v>0</v>
      </c>
    </row>
    <row r="45" spans="2:3" ht="12.75">
      <c r="B45" s="3" t="s">
        <v>114</v>
      </c>
      <c r="C45" s="209">
        <v>12000</v>
      </c>
    </row>
    <row r="48" spans="2:5" ht="12.75">
      <c r="B48" s="399" t="s">
        <v>115</v>
      </c>
      <c r="C48" s="400"/>
      <c r="D48" s="401"/>
      <c r="E48" s="84">
        <f>C43+C44+C45</f>
        <v>42000</v>
      </c>
    </row>
    <row r="50" ht="12.75">
      <c r="A50" s="256" t="s">
        <v>572</v>
      </c>
    </row>
    <row r="51" spans="2:7" ht="21" customHeight="1">
      <c r="B51" s="95"/>
      <c r="C51" s="95"/>
      <c r="D51" s="95"/>
      <c r="E51" s="351" t="s">
        <v>583</v>
      </c>
      <c r="F51" s="351"/>
      <c r="G51" s="351"/>
    </row>
    <row r="52" spans="2:7" ht="21" customHeight="1">
      <c r="B52" s="95"/>
      <c r="C52" s="95"/>
      <c r="D52" s="95"/>
      <c r="E52" s="351"/>
      <c r="F52" s="351"/>
      <c r="G52" s="351"/>
    </row>
    <row r="53" spans="2:4" ht="12.75">
      <c r="B53" s="405" t="s">
        <v>437</v>
      </c>
      <c r="C53" s="405"/>
      <c r="D53" s="405"/>
    </row>
    <row r="54" spans="2:4" ht="12.75">
      <c r="B54" s="95"/>
      <c r="C54" s="95"/>
      <c r="D54" s="95"/>
    </row>
    <row r="55" spans="2:4" ht="12.75">
      <c r="B55" s="406" t="s">
        <v>441</v>
      </c>
      <c r="C55" s="406"/>
      <c r="D55" s="406"/>
    </row>
    <row r="56" spans="2:5" ht="12.75">
      <c r="B56" s="342" t="s">
        <v>439</v>
      </c>
      <c r="C56" s="342"/>
      <c r="D56" s="342"/>
      <c r="E56" s="192">
        <v>1</v>
      </c>
    </row>
    <row r="57" spans="2:5" ht="12.75">
      <c r="B57" s="342" t="s">
        <v>440</v>
      </c>
      <c r="C57" s="342"/>
      <c r="D57" s="342"/>
      <c r="E57" s="82">
        <f>Sumi!D183</f>
        <v>2902</v>
      </c>
    </row>
    <row r="58" spans="2:5" ht="12.75">
      <c r="B58" s="342" t="s">
        <v>442</v>
      </c>
      <c r="C58" s="342"/>
      <c r="D58" s="342"/>
      <c r="E58" s="82">
        <f>E57/E56</f>
        <v>2902</v>
      </c>
    </row>
    <row r="59" spans="2:3" ht="12.75">
      <c r="B59" s="95"/>
      <c r="C59" s="95"/>
    </row>
    <row r="60" spans="2:5" ht="12.75">
      <c r="B60" s="399" t="s">
        <v>117</v>
      </c>
      <c r="C60" s="400"/>
      <c r="D60" s="401"/>
      <c r="E60" s="209">
        <v>30000</v>
      </c>
    </row>
    <row r="61" spans="2:5" s="127" customFormat="1" ht="12.75">
      <c r="B61" s="37"/>
      <c r="C61" s="37"/>
      <c r="D61" s="37"/>
      <c r="E61" s="128"/>
    </row>
    <row r="62" spans="2:5" s="127" customFormat="1" ht="13.5" thickBot="1">
      <c r="B62" s="37"/>
      <c r="C62" s="37"/>
      <c r="D62" s="37"/>
      <c r="E62" s="128"/>
    </row>
    <row r="63" spans="1:5" s="127" customFormat="1" ht="13.5" thickBot="1">
      <c r="A63" s="402" t="s">
        <v>438</v>
      </c>
      <c r="B63" s="403"/>
      <c r="C63" s="403"/>
      <c r="D63" s="404"/>
      <c r="E63" s="128"/>
    </row>
    <row r="64" spans="2:5" s="127" customFormat="1" ht="12.75">
      <c r="B64" s="37"/>
      <c r="C64" s="37"/>
      <c r="D64" s="37"/>
      <c r="E64" s="128"/>
    </row>
    <row r="66" spans="2:4" ht="12.75">
      <c r="B66" s="336" t="s">
        <v>121</v>
      </c>
      <c r="C66" s="336"/>
      <c r="D66" s="214">
        <v>25000</v>
      </c>
    </row>
    <row r="67" spans="2:4" ht="12.75">
      <c r="B67" s="336" t="s">
        <v>122</v>
      </c>
      <c r="C67" s="336"/>
      <c r="D67" s="214">
        <v>10000</v>
      </c>
    </row>
    <row r="69" spans="2:5" ht="12.75">
      <c r="B69" s="399" t="s">
        <v>118</v>
      </c>
      <c r="C69" s="400"/>
      <c r="D69" s="401"/>
      <c r="E69" s="84">
        <f>D66+D67</f>
        <v>35000</v>
      </c>
    </row>
    <row r="75" ht="13.5" thickBot="1"/>
    <row r="76" spans="2:6" ht="24.75" customHeight="1" thickBot="1">
      <c r="B76" s="396" t="s">
        <v>123</v>
      </c>
      <c r="C76" s="397"/>
      <c r="D76" s="397"/>
      <c r="E76" s="398"/>
      <c r="F76" s="210">
        <f>E69+E60+E35+E48+E29+E13</f>
        <v>131400</v>
      </c>
    </row>
    <row r="78" ht="12.75">
      <c r="A78" s="256" t="s">
        <v>572</v>
      </c>
    </row>
  </sheetData>
  <sheetProtection password="F5C7" sheet="1" objects="1" scenarios="1" selectLockedCells="1"/>
  <mergeCells count="33">
    <mergeCell ref="B66:C66"/>
    <mergeCell ref="A63:D63"/>
    <mergeCell ref="B56:D56"/>
    <mergeCell ref="B57:D57"/>
    <mergeCell ref="B58:D58"/>
    <mergeCell ref="B53:D53"/>
    <mergeCell ref="B55:D55"/>
    <mergeCell ref="A26:C26"/>
    <mergeCell ref="A27:C27"/>
    <mergeCell ref="B35:D35"/>
    <mergeCell ref="B41:C41"/>
    <mergeCell ref="A32:D32"/>
    <mergeCell ref="A38:D38"/>
    <mergeCell ref="B69:D69"/>
    <mergeCell ref="A1:G3"/>
    <mergeCell ref="A10:C10"/>
    <mergeCell ref="A19:B19"/>
    <mergeCell ref="A11:C11"/>
    <mergeCell ref="B13:D13"/>
    <mergeCell ref="A7:D7"/>
    <mergeCell ref="A16:D16"/>
    <mergeCell ref="E4:G5"/>
    <mergeCell ref="B67:C67"/>
    <mergeCell ref="E51:G52"/>
    <mergeCell ref="B76:E76"/>
    <mergeCell ref="A20:B20"/>
    <mergeCell ref="A21:B21"/>
    <mergeCell ref="A22:B22"/>
    <mergeCell ref="A24:C24"/>
    <mergeCell ref="B48:D48"/>
    <mergeCell ref="B60:D60"/>
    <mergeCell ref="A25:C25"/>
    <mergeCell ref="B29:D29"/>
  </mergeCells>
  <printOptions/>
  <pageMargins left="0.75" right="0.75" top="1" bottom="1" header="0" footer="0"/>
  <pageSetup firstPageNumber="7" useFirstPageNumber="1" horizontalDpi="600" verticalDpi="600" orientation="portrait" paperSize="9" r:id="rId2"/>
  <headerFooter alignWithMargins="0">
    <oddHeader>&amp;RMODELO ECONÓMICO MÁRMOL  &amp;P</oddHeader>
  </headerFooter>
  <rowBreaks count="1" manualBreakCount="1">
    <brk id="5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6">
      <selection activeCell="B53" sqref="B53"/>
    </sheetView>
  </sheetViews>
  <sheetFormatPr defaultColWidth="11.421875" defaultRowHeight="12.75"/>
  <cols>
    <col min="1" max="1" width="19.28125" style="0" customWidth="1"/>
    <col min="2" max="2" width="11.57421875" style="0" bestFit="1" customWidth="1"/>
    <col min="3" max="3" width="13.8515625" style="0" customWidth="1"/>
    <col min="4" max="4" width="12.00390625" style="0" bestFit="1" customWidth="1"/>
    <col min="5" max="5" width="10.57421875" style="0" customWidth="1"/>
    <col min="6" max="6" width="14.140625" style="0" bestFit="1" customWidth="1"/>
  </cols>
  <sheetData>
    <row r="1" spans="1:7" ht="12.75">
      <c r="A1" s="358" t="s">
        <v>11</v>
      </c>
      <c r="B1" s="359"/>
      <c r="C1" s="359"/>
      <c r="D1" s="359"/>
      <c r="E1" s="359"/>
      <c r="F1" s="359"/>
      <c r="G1" s="360"/>
    </row>
    <row r="2" spans="1:7" ht="12.75">
      <c r="A2" s="361"/>
      <c r="B2" s="362"/>
      <c r="C2" s="362"/>
      <c r="D2" s="362"/>
      <c r="E2" s="362"/>
      <c r="F2" s="362"/>
      <c r="G2" s="363"/>
    </row>
    <row r="3" spans="1:7" ht="13.5" thickBot="1">
      <c r="A3" s="364"/>
      <c r="B3" s="365"/>
      <c r="C3" s="365"/>
      <c r="D3" s="365"/>
      <c r="E3" s="365"/>
      <c r="F3" s="365"/>
      <c r="G3" s="366"/>
    </row>
    <row r="5" spans="5:7" ht="21" customHeight="1">
      <c r="E5" s="351" t="s">
        <v>583</v>
      </c>
      <c r="F5" s="351"/>
      <c r="G5" s="351"/>
    </row>
    <row r="6" spans="1:7" ht="21" customHeight="1">
      <c r="A6" s="408" t="s">
        <v>19</v>
      </c>
      <c r="B6" s="408"/>
      <c r="C6" s="408"/>
      <c r="E6" s="351"/>
      <c r="F6" s="351"/>
      <c r="G6" s="351"/>
    </row>
    <row r="7" spans="1:3" ht="15" customHeight="1">
      <c r="A7" s="81"/>
      <c r="B7" s="81"/>
      <c r="C7" s="81"/>
    </row>
    <row r="8" spans="1:6" ht="15" customHeight="1">
      <c r="A8" s="26" t="s">
        <v>34</v>
      </c>
      <c r="B8" s="22" t="s">
        <v>162</v>
      </c>
      <c r="C8" s="22" t="s">
        <v>400</v>
      </c>
      <c r="D8" s="22" t="s">
        <v>36</v>
      </c>
      <c r="E8" s="22" t="s">
        <v>61</v>
      </c>
      <c r="F8" s="21" t="s">
        <v>37</v>
      </c>
    </row>
    <row r="9" spans="1:6" ht="15" customHeight="1">
      <c r="A9" s="27" t="s">
        <v>498</v>
      </c>
      <c r="B9" s="215">
        <v>160</v>
      </c>
      <c r="C9" s="207">
        <v>50000</v>
      </c>
      <c r="D9" s="191">
        <v>60000</v>
      </c>
      <c r="E9" s="215">
        <v>2</v>
      </c>
      <c r="F9" s="84">
        <f>IF(Datos!$C$11&lt;10,D9*E9*Datos!$C$11/12,D9*E9)</f>
        <v>120000</v>
      </c>
    </row>
    <row r="10" spans="1:6" ht="15" customHeight="1">
      <c r="A10" s="27"/>
      <c r="B10" s="118"/>
      <c r="C10" s="116"/>
      <c r="D10" s="117"/>
      <c r="F10" s="13" t="s">
        <v>562</v>
      </c>
    </row>
    <row r="11" spans="1:6" ht="15" customHeight="1">
      <c r="A11" s="27" t="s">
        <v>413</v>
      </c>
      <c r="B11" s="216">
        <v>27000</v>
      </c>
      <c r="C11" s="81"/>
      <c r="D11" s="342" t="s">
        <v>482</v>
      </c>
      <c r="E11" s="342"/>
      <c r="F11" s="169">
        <f>IF(E9=0,Maqui!C14+1,E9)</f>
        <v>2</v>
      </c>
    </row>
    <row r="12" spans="1:5" ht="12.75">
      <c r="A12" s="27" t="s">
        <v>124</v>
      </c>
      <c r="B12" s="216">
        <v>300</v>
      </c>
      <c r="D12" s="6"/>
      <c r="E12" s="6"/>
    </row>
    <row r="13" spans="1:5" ht="12.75">
      <c r="A13" s="27" t="s">
        <v>125</v>
      </c>
      <c r="B13" s="217">
        <v>6</v>
      </c>
      <c r="D13" s="6"/>
      <c r="E13" s="6"/>
    </row>
    <row r="15" spans="1:4" ht="12.75">
      <c r="A15" s="407" t="s">
        <v>126</v>
      </c>
      <c r="B15" s="407"/>
      <c r="C15" s="407"/>
      <c r="D15" s="94">
        <f>F9+B12*B13</f>
        <v>121800</v>
      </c>
    </row>
    <row r="17" spans="1:4" ht="15.75" customHeight="1">
      <c r="A17" s="408" t="s">
        <v>127</v>
      </c>
      <c r="B17" s="408"/>
      <c r="C17" s="408"/>
      <c r="D17" s="33"/>
    </row>
    <row r="18" spans="1:4" ht="15.75" customHeight="1">
      <c r="A18" s="81"/>
      <c r="B18" s="81"/>
      <c r="C18" s="81"/>
      <c r="D18" s="33"/>
    </row>
    <row r="19" spans="1:6" ht="15.75" customHeight="1">
      <c r="A19" s="26" t="s">
        <v>34</v>
      </c>
      <c r="B19" s="22" t="s">
        <v>162</v>
      </c>
      <c r="C19" s="22" t="s">
        <v>400</v>
      </c>
      <c r="D19" s="22" t="s">
        <v>36</v>
      </c>
      <c r="E19" s="22" t="s">
        <v>61</v>
      </c>
      <c r="F19" s="21" t="s">
        <v>37</v>
      </c>
    </row>
    <row r="20" spans="1:6" ht="15.75" customHeight="1">
      <c r="A20" s="27" t="s">
        <v>417</v>
      </c>
      <c r="B20" s="215">
        <v>10</v>
      </c>
      <c r="C20" s="207">
        <v>15000</v>
      </c>
      <c r="D20" s="218">
        <v>3000</v>
      </c>
      <c r="E20" s="215">
        <v>0</v>
      </c>
      <c r="F20" s="84">
        <f>D20*E20</f>
        <v>0</v>
      </c>
    </row>
    <row r="21" spans="1:6" ht="15.75" customHeight="1">
      <c r="A21" s="14"/>
      <c r="B21" s="90"/>
      <c r="C21" s="116"/>
      <c r="D21" s="117"/>
      <c r="E21" s="93"/>
      <c r="F21" s="107"/>
    </row>
    <row r="22" spans="1:3" ht="12.75" customHeight="1">
      <c r="A22" s="27" t="s">
        <v>415</v>
      </c>
      <c r="B22" s="216">
        <v>300</v>
      </c>
      <c r="C22" s="119"/>
    </row>
    <row r="23" spans="1:4" ht="12.75" customHeight="1">
      <c r="A23" s="27" t="s">
        <v>89</v>
      </c>
      <c r="B23" s="121">
        <f>IF(E20=0,0,ROUND(1000*Sumi!D306/Insta!B22/60,2))</f>
        <v>0</v>
      </c>
      <c r="C23" s="81"/>
      <c r="D23" s="33"/>
    </row>
    <row r="25" spans="1:4" ht="12.75">
      <c r="A25" s="357" t="s">
        <v>128</v>
      </c>
      <c r="B25" s="357"/>
      <c r="C25" s="357"/>
      <c r="D25" s="120">
        <f>F20</f>
        <v>0</v>
      </c>
    </row>
    <row r="27" spans="1:3" ht="15.75">
      <c r="A27" s="408" t="s">
        <v>129</v>
      </c>
      <c r="B27" s="408"/>
      <c r="C27" s="408"/>
    </row>
    <row r="28" spans="1:3" ht="15.75">
      <c r="A28" s="81"/>
      <c r="B28" s="81"/>
      <c r="C28" s="81"/>
    </row>
    <row r="29" spans="1:6" ht="12.75">
      <c r="A29" s="26" t="s">
        <v>34</v>
      </c>
      <c r="B29" s="22" t="s">
        <v>419</v>
      </c>
      <c r="C29" s="22" t="s">
        <v>400</v>
      </c>
      <c r="D29" s="22" t="s">
        <v>36</v>
      </c>
      <c r="E29" s="22" t="s">
        <v>61</v>
      </c>
      <c r="F29" s="21" t="s">
        <v>37</v>
      </c>
    </row>
    <row r="30" spans="1:6" ht="12.75">
      <c r="A30" s="27" t="s">
        <v>420</v>
      </c>
      <c r="B30" s="215">
        <v>315</v>
      </c>
      <c r="C30" s="207">
        <v>15000</v>
      </c>
      <c r="D30" s="218">
        <v>15000</v>
      </c>
      <c r="E30" s="215">
        <v>0</v>
      </c>
      <c r="F30" s="84">
        <f>IF(Datos!$C$11&lt;10,D30*E30*Datos!$C$11/12,D30*E30)</f>
        <v>0</v>
      </c>
    </row>
    <row r="31" spans="1:6" ht="15.75">
      <c r="A31" s="81"/>
      <c r="B31" s="81"/>
      <c r="C31" s="81"/>
      <c r="F31" t="s">
        <v>562</v>
      </c>
    </row>
    <row r="32" spans="1:2" ht="12.75" customHeight="1">
      <c r="A32" s="27" t="s">
        <v>418</v>
      </c>
      <c r="B32" s="216">
        <v>380</v>
      </c>
    </row>
    <row r="33" spans="1:2" ht="12.75" customHeight="1">
      <c r="A33" s="27" t="s">
        <v>124</v>
      </c>
      <c r="B33" s="216">
        <v>500</v>
      </c>
    </row>
    <row r="34" spans="1:2" ht="12.75" customHeight="1">
      <c r="A34" s="27" t="s">
        <v>125</v>
      </c>
      <c r="B34" s="217">
        <v>6</v>
      </c>
    </row>
    <row r="35" spans="1:3" ht="12.75" customHeight="1">
      <c r="A35" s="81"/>
      <c r="B35" s="81"/>
      <c r="C35" s="81"/>
    </row>
    <row r="37" spans="1:4" ht="12.75">
      <c r="A37" s="357" t="s">
        <v>130</v>
      </c>
      <c r="B37" s="357"/>
      <c r="C37" s="357"/>
      <c r="D37" s="120">
        <f>F30+B33*B34</f>
        <v>3000</v>
      </c>
    </row>
    <row r="39" spans="1:3" ht="15.75">
      <c r="A39" s="408" t="s">
        <v>131</v>
      </c>
      <c r="B39" s="408"/>
      <c r="C39" s="408"/>
    </row>
    <row r="40" spans="1:3" ht="15.75">
      <c r="A40" s="81"/>
      <c r="B40" s="81"/>
      <c r="C40" s="81"/>
    </row>
    <row r="41" spans="1:6" ht="12.75">
      <c r="A41" s="26" t="s">
        <v>34</v>
      </c>
      <c r="B41" s="22" t="s">
        <v>419</v>
      </c>
      <c r="C41" s="22" t="s">
        <v>400</v>
      </c>
      <c r="D41" s="22" t="s">
        <v>36</v>
      </c>
      <c r="E41" s="22" t="s">
        <v>61</v>
      </c>
      <c r="F41" s="21" t="s">
        <v>37</v>
      </c>
    </row>
    <row r="42" spans="1:6" ht="12.75">
      <c r="A42" s="27" t="s">
        <v>422</v>
      </c>
      <c r="B42" s="80">
        <f>2*B43</f>
        <v>4</v>
      </c>
      <c r="C42" s="207">
        <v>10000</v>
      </c>
      <c r="D42" s="219">
        <v>1800</v>
      </c>
      <c r="E42" s="80">
        <f>ROUND(E43/2,0)</f>
        <v>2</v>
      </c>
      <c r="F42" s="84">
        <f>D42*E42</f>
        <v>3600</v>
      </c>
    </row>
    <row r="43" spans="1:6" ht="12.75">
      <c r="A43" s="27" t="s">
        <v>423</v>
      </c>
      <c r="B43" s="220">
        <v>2</v>
      </c>
      <c r="C43" s="207">
        <v>2000</v>
      </c>
      <c r="D43" s="219">
        <v>600</v>
      </c>
      <c r="E43" s="215">
        <v>4</v>
      </c>
      <c r="F43" s="84">
        <f>D43*E43</f>
        <v>2400</v>
      </c>
    </row>
    <row r="45" spans="1:4" ht="12.75">
      <c r="A45" s="357" t="s">
        <v>132</v>
      </c>
      <c r="B45" s="357"/>
      <c r="C45" s="357"/>
      <c r="D45" s="120">
        <f>F42+F43</f>
        <v>6000</v>
      </c>
    </row>
    <row r="47" ht="12.75">
      <c r="A47" s="256" t="s">
        <v>572</v>
      </c>
    </row>
    <row r="49" spans="5:7" ht="21" customHeight="1">
      <c r="E49" s="351" t="s">
        <v>583</v>
      </c>
      <c r="F49" s="351"/>
      <c r="G49" s="351"/>
    </row>
    <row r="50" spans="1:7" ht="21" customHeight="1">
      <c r="A50" s="408" t="s">
        <v>133</v>
      </c>
      <c r="B50" s="408"/>
      <c r="C50" s="408"/>
      <c r="E50" s="351"/>
      <c r="F50" s="351"/>
      <c r="G50" s="351"/>
    </row>
    <row r="51" spans="1:3" ht="15.75">
      <c r="A51" s="81"/>
      <c r="B51" s="81"/>
      <c r="C51" s="81"/>
    </row>
    <row r="52" spans="1:6" ht="12.75">
      <c r="A52" s="26" t="s">
        <v>34</v>
      </c>
      <c r="B52" s="22" t="s">
        <v>162</v>
      </c>
      <c r="C52" s="22" t="s">
        <v>400</v>
      </c>
      <c r="D52" s="22" t="s">
        <v>36</v>
      </c>
      <c r="E52" s="22" t="s">
        <v>61</v>
      </c>
      <c r="F52" s="21" t="s">
        <v>37</v>
      </c>
    </row>
    <row r="53" spans="1:6" ht="12.75">
      <c r="A53" s="27" t="s">
        <v>427</v>
      </c>
      <c r="B53" s="215">
        <v>2</v>
      </c>
      <c r="C53" s="207">
        <v>15000</v>
      </c>
      <c r="D53" s="219">
        <v>800</v>
      </c>
      <c r="E53" s="215">
        <v>2</v>
      </c>
      <c r="F53" s="84">
        <f>D53*E53</f>
        <v>1600</v>
      </c>
    </row>
    <row r="54" spans="1:3" ht="15.75">
      <c r="A54" s="81"/>
      <c r="B54" s="81"/>
      <c r="C54" s="81"/>
    </row>
    <row r="55" spans="1:3" ht="12.75">
      <c r="A55" s="27" t="s">
        <v>134</v>
      </c>
      <c r="B55" s="192">
        <v>300</v>
      </c>
      <c r="C55" s="14"/>
    </row>
    <row r="56" spans="1:3" ht="12.75">
      <c r="A56" s="27" t="s">
        <v>108</v>
      </c>
      <c r="B56" s="219">
        <v>8</v>
      </c>
      <c r="C56" s="14"/>
    </row>
    <row r="58" spans="1:4" ht="12.75">
      <c r="A58" s="357" t="s">
        <v>135</v>
      </c>
      <c r="B58" s="357"/>
      <c r="C58" s="357"/>
      <c r="D58" s="99">
        <f>F53+(B56*B55)</f>
        <v>4000</v>
      </c>
    </row>
    <row r="60" spans="1:3" ht="15.75">
      <c r="A60" s="408" t="s">
        <v>136</v>
      </c>
      <c r="B60" s="408"/>
      <c r="C60" s="408"/>
    </row>
    <row r="61" spans="1:3" ht="15.75">
      <c r="A61" s="81"/>
      <c r="B61" s="81"/>
      <c r="C61" s="81"/>
    </row>
    <row r="62" spans="1:6" ht="12.75">
      <c r="A62" s="26" t="s">
        <v>34</v>
      </c>
      <c r="B62" s="22" t="s">
        <v>162</v>
      </c>
      <c r="C62" s="22" t="s">
        <v>400</v>
      </c>
      <c r="D62" s="22" t="s">
        <v>36</v>
      </c>
      <c r="E62" s="22" t="s">
        <v>61</v>
      </c>
      <c r="F62" s="21" t="s">
        <v>37</v>
      </c>
    </row>
    <row r="63" spans="1:6" ht="12.75">
      <c r="A63" s="27" t="s">
        <v>428</v>
      </c>
      <c r="B63" s="215">
        <v>50</v>
      </c>
      <c r="C63" s="207">
        <v>15000</v>
      </c>
      <c r="D63" s="219">
        <v>1500</v>
      </c>
      <c r="E63" s="215">
        <v>0</v>
      </c>
      <c r="F63" s="84">
        <f>D63*E63</f>
        <v>0</v>
      </c>
    </row>
    <row r="64" spans="1:3" ht="15.75">
      <c r="A64" s="81"/>
      <c r="B64" s="81"/>
      <c r="C64" s="81"/>
    </row>
    <row r="65" spans="1:3" ht="12.75" customHeight="1">
      <c r="A65" s="29" t="s">
        <v>429</v>
      </c>
      <c r="B65" s="192">
        <v>2</v>
      </c>
      <c r="C65" s="81"/>
    </row>
    <row r="66" spans="1:3" ht="12.75" customHeight="1">
      <c r="A66" s="29" t="s">
        <v>89</v>
      </c>
      <c r="B66" s="121">
        <f>IF(E63=0,0,11*220)</f>
        <v>0</v>
      </c>
      <c r="C66" s="29" t="s">
        <v>443</v>
      </c>
    </row>
    <row r="67" spans="1:3" ht="12.75">
      <c r="A67" s="29" t="s">
        <v>137</v>
      </c>
      <c r="B67" s="192">
        <v>0</v>
      </c>
      <c r="C67" s="14"/>
    </row>
    <row r="68" spans="1:3" ht="12.75">
      <c r="A68" s="29" t="s">
        <v>108</v>
      </c>
      <c r="B68" s="219">
        <v>15</v>
      </c>
      <c r="C68" s="14"/>
    </row>
    <row r="70" spans="1:4" ht="12.75">
      <c r="A70" s="357" t="s">
        <v>138</v>
      </c>
      <c r="B70" s="357"/>
      <c r="C70" s="357"/>
      <c r="D70" s="99">
        <f>F63+B68*B67</f>
        <v>0</v>
      </c>
    </row>
    <row r="71" spans="1:4" ht="12.75">
      <c r="A71" s="37"/>
      <c r="B71" s="37"/>
      <c r="C71" s="37"/>
      <c r="D71" s="115"/>
    </row>
    <row r="72" ht="13.5" thickBot="1"/>
    <row r="73" spans="2:6" ht="21" customHeight="1" thickBot="1">
      <c r="B73" s="396" t="s">
        <v>171</v>
      </c>
      <c r="C73" s="397"/>
      <c r="D73" s="397"/>
      <c r="E73" s="398"/>
      <c r="F73" s="164">
        <f>D70+D58+D45+D37+D25+D15</f>
        <v>134800</v>
      </c>
    </row>
    <row r="75" ht="12.75">
      <c r="A75" s="256" t="s">
        <v>572</v>
      </c>
    </row>
  </sheetData>
  <sheetProtection password="F5C7" sheet="1" objects="1" scenarios="1" selectLockedCells="1"/>
  <mergeCells count="17">
    <mergeCell ref="A58:C58"/>
    <mergeCell ref="A60:C60"/>
    <mergeCell ref="A50:C50"/>
    <mergeCell ref="A1:G3"/>
    <mergeCell ref="A6:C6"/>
    <mergeCell ref="E5:G6"/>
    <mergeCell ref="D11:E11"/>
    <mergeCell ref="B73:E73"/>
    <mergeCell ref="A70:C70"/>
    <mergeCell ref="A15:C15"/>
    <mergeCell ref="A17:C17"/>
    <mergeCell ref="A25:C25"/>
    <mergeCell ref="A27:C27"/>
    <mergeCell ref="A37:C37"/>
    <mergeCell ref="E49:G50"/>
    <mergeCell ref="A45:C45"/>
    <mergeCell ref="A39:C39"/>
  </mergeCells>
  <printOptions/>
  <pageMargins left="0.75" right="0.75" top="1" bottom="1" header="0" footer="0"/>
  <pageSetup firstPageNumber="9" useFirstPageNumber="1" horizontalDpi="600" verticalDpi="600" orientation="portrait" paperSize="9" scale="93" r:id="rId2"/>
  <headerFooter alignWithMargins="0">
    <oddHeader>&amp;RMODELO ECONÓMICO MÁRMOL  &amp;P</oddHeader>
  </headerFooter>
  <rowBreaks count="1" manualBreakCount="1">
    <brk id="47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D79" sqref="D79"/>
    </sheetView>
  </sheetViews>
  <sheetFormatPr defaultColWidth="11.421875" defaultRowHeight="12.75"/>
  <cols>
    <col min="1" max="1" width="37.00390625" style="0" customWidth="1"/>
    <col min="2" max="2" width="8.7109375" style="0" customWidth="1"/>
    <col min="3" max="3" width="13.421875" style="0" customWidth="1"/>
    <col min="4" max="4" width="14.421875" style="0" customWidth="1"/>
    <col min="5" max="5" width="5.57421875" style="0" customWidth="1"/>
    <col min="6" max="6" width="15.421875" style="0" customWidth="1"/>
    <col min="7" max="7" width="13.140625" style="0" customWidth="1"/>
  </cols>
  <sheetData>
    <row r="1" spans="1:7" ht="12.75" customHeight="1">
      <c r="A1" s="358" t="s">
        <v>33</v>
      </c>
      <c r="B1" s="359"/>
      <c r="C1" s="359"/>
      <c r="D1" s="359"/>
      <c r="E1" s="359"/>
      <c r="F1" s="360"/>
      <c r="G1" s="9"/>
    </row>
    <row r="2" spans="1:7" ht="12.75" customHeight="1">
      <c r="A2" s="361"/>
      <c r="B2" s="362"/>
      <c r="C2" s="362"/>
      <c r="D2" s="362"/>
      <c r="E2" s="362"/>
      <c r="F2" s="363"/>
      <c r="G2" s="9"/>
    </row>
    <row r="3" spans="1:7" ht="13.5" customHeight="1" thickBot="1">
      <c r="A3" s="364"/>
      <c r="B3" s="365"/>
      <c r="C3" s="365"/>
      <c r="D3" s="365"/>
      <c r="E3" s="365"/>
      <c r="F3" s="366"/>
      <c r="G3" s="9"/>
    </row>
    <row r="5" spans="6:8" ht="21" customHeight="1">
      <c r="F5" s="351" t="s">
        <v>583</v>
      </c>
      <c r="G5" s="351"/>
      <c r="H5" s="351"/>
    </row>
    <row r="6" spans="1:8" ht="21" customHeight="1">
      <c r="A6" s="39" t="s">
        <v>149</v>
      </c>
      <c r="C6" s="8"/>
      <c r="E6" s="5"/>
      <c r="F6" s="351"/>
      <c r="G6" s="351"/>
      <c r="H6" s="351"/>
    </row>
    <row r="7" spans="1:5" ht="13.5" thickBot="1">
      <c r="A7" s="8"/>
      <c r="B7" s="8"/>
      <c r="C7" s="8"/>
      <c r="E7" s="5"/>
    </row>
    <row r="8" spans="1:5" ht="13.5" thickBot="1">
      <c r="A8" s="40" t="s">
        <v>148</v>
      </c>
      <c r="B8" s="91">
        <f>Datos!G20</f>
        <v>1</v>
      </c>
      <c r="C8" s="8"/>
      <c r="E8" s="5"/>
    </row>
    <row r="9" spans="1:5" ht="12.75">
      <c r="A9" s="4"/>
      <c r="B9" s="8"/>
      <c r="E9" s="5"/>
    </row>
    <row r="10" spans="1:5" ht="12.75">
      <c r="A10" s="8" t="s">
        <v>150</v>
      </c>
      <c r="B10" s="221">
        <v>2</v>
      </c>
      <c r="C10" s="92">
        <f>IF(B10=0,B8*2,B10)</f>
        <v>2</v>
      </c>
      <c r="E10" s="5"/>
    </row>
    <row r="11" spans="1:5" ht="12.75">
      <c r="A11" s="8" t="s">
        <v>151</v>
      </c>
      <c r="B11" s="221">
        <v>6</v>
      </c>
      <c r="C11" s="92">
        <f>IF(B11=0,4*B8,B11)</f>
        <v>6</v>
      </c>
      <c r="E11" s="5"/>
    </row>
    <row r="12" spans="1:5" ht="12.75">
      <c r="A12" s="8" t="s">
        <v>83</v>
      </c>
      <c r="B12" s="221">
        <v>1</v>
      </c>
      <c r="C12" s="92">
        <f>IF(B12=0,1*B8,B12)</f>
        <v>1</v>
      </c>
      <c r="E12" s="5"/>
    </row>
    <row r="13" spans="1:3" ht="12.75">
      <c r="A13" s="37" t="s">
        <v>48</v>
      </c>
      <c r="B13" s="222">
        <v>1</v>
      </c>
      <c r="C13" s="92">
        <f>IF(B13=0,B8,B13)</f>
        <v>1</v>
      </c>
    </row>
    <row r="14" spans="1:3" ht="12.75">
      <c r="A14" s="37" t="s">
        <v>152</v>
      </c>
      <c r="B14" s="222">
        <v>2</v>
      </c>
      <c r="C14" s="92">
        <f>IF(B14=0,1*B8,B14)</f>
        <v>2</v>
      </c>
    </row>
    <row r="15" spans="1:3" ht="12.75">
      <c r="A15" s="37" t="s">
        <v>153</v>
      </c>
      <c r="B15" s="222">
        <v>2</v>
      </c>
      <c r="C15" s="92">
        <f>IF(B15=0,1*B8,B15)</f>
        <v>2</v>
      </c>
    </row>
    <row r="16" spans="1:3" ht="12.75">
      <c r="A16" s="37" t="s">
        <v>154</v>
      </c>
      <c r="B16" s="222">
        <v>1</v>
      </c>
      <c r="C16" s="92">
        <f>IF(B16=0,1,B16)</f>
        <v>1</v>
      </c>
    </row>
    <row r="17" spans="1:3" ht="12.75">
      <c r="A17" s="37" t="s">
        <v>155</v>
      </c>
      <c r="B17" s="222">
        <v>1</v>
      </c>
      <c r="C17" s="92">
        <f>IF(B17=0,1,B17)</f>
        <v>1</v>
      </c>
    </row>
    <row r="18" spans="1:3" ht="12.75">
      <c r="A18" s="37"/>
      <c r="B18" s="1"/>
      <c r="C18" s="8" t="s">
        <v>575</v>
      </c>
    </row>
    <row r="19" ht="13.5" thickBot="1"/>
    <row r="20" spans="1:3" ht="21" customHeight="1" thickBot="1">
      <c r="A20" s="372" t="s">
        <v>66</v>
      </c>
      <c r="B20" s="414"/>
      <c r="C20" s="373"/>
    </row>
    <row r="21" ht="13.5" customHeight="1"/>
    <row r="22" spans="1:6" ht="12.75">
      <c r="A22" s="26" t="s">
        <v>34</v>
      </c>
      <c r="B22" s="22" t="s">
        <v>81</v>
      </c>
      <c r="C22" s="22" t="s">
        <v>400</v>
      </c>
      <c r="D22" s="22" t="s">
        <v>36</v>
      </c>
      <c r="E22" s="22" t="s">
        <v>61</v>
      </c>
      <c r="F22" s="21" t="s">
        <v>37</v>
      </c>
    </row>
    <row r="23" spans="1:6" ht="12.75">
      <c r="A23" s="27" t="s">
        <v>521</v>
      </c>
      <c r="B23" s="215">
        <v>35</v>
      </c>
      <c r="C23" s="207">
        <v>30000</v>
      </c>
      <c r="D23" s="191">
        <v>150000</v>
      </c>
      <c r="E23" s="80">
        <f>B17</f>
        <v>1</v>
      </c>
      <c r="F23" s="84">
        <f>D23*E23</f>
        <v>150000</v>
      </c>
    </row>
    <row r="24" spans="1:6" ht="12.75">
      <c r="A24" s="27" t="s">
        <v>63</v>
      </c>
      <c r="B24" s="223"/>
      <c r="C24" s="207">
        <v>10000</v>
      </c>
      <c r="D24" s="191">
        <v>12000</v>
      </c>
      <c r="E24" s="80">
        <f>C16</f>
        <v>1</v>
      </c>
      <c r="F24" s="84">
        <f>D24*E24</f>
        <v>12000</v>
      </c>
    </row>
    <row r="25" spans="1:6" ht="12.75">
      <c r="A25" s="27" t="s">
        <v>64</v>
      </c>
      <c r="B25" s="223"/>
      <c r="C25" s="207">
        <v>30000</v>
      </c>
      <c r="D25" s="191">
        <v>90000</v>
      </c>
      <c r="E25" s="215">
        <v>0</v>
      </c>
      <c r="F25" s="84">
        <f>D25*E25</f>
        <v>0</v>
      </c>
    </row>
    <row r="26" spans="1:6" ht="12.75">
      <c r="A26" s="27" t="s">
        <v>65</v>
      </c>
      <c r="B26" s="223"/>
      <c r="C26" s="207">
        <v>30000</v>
      </c>
      <c r="D26" s="191">
        <v>7800</v>
      </c>
      <c r="E26" s="80">
        <f>C14</f>
        <v>2</v>
      </c>
      <c r="F26" s="84">
        <f>D26*E26</f>
        <v>15600</v>
      </c>
    </row>
    <row r="27" spans="1:6" ht="12.75">
      <c r="A27" s="27" t="s">
        <v>331</v>
      </c>
      <c r="B27" s="223"/>
      <c r="C27" s="207">
        <v>10000</v>
      </c>
      <c r="D27" s="191">
        <v>2400</v>
      </c>
      <c r="E27" s="80">
        <f>C14*5</f>
        <v>10</v>
      </c>
      <c r="F27" s="84">
        <f>D27*E27</f>
        <v>24000</v>
      </c>
    </row>
    <row r="28" spans="1:6" ht="13.5" thickBot="1">
      <c r="A28" s="14"/>
      <c r="B28" s="14"/>
      <c r="C28" s="5"/>
      <c r="D28" s="36"/>
      <c r="E28" s="5"/>
      <c r="F28" s="36"/>
    </row>
    <row r="29" spans="1:6" ht="13.5" thickBot="1">
      <c r="A29" s="166" t="s">
        <v>156</v>
      </c>
      <c r="B29" s="412">
        <f>F23+F24+F25+F26+F27</f>
        <v>201600</v>
      </c>
      <c r="C29" s="413"/>
      <c r="D29" s="36"/>
      <c r="E29" s="5"/>
      <c r="F29" s="36"/>
    </row>
    <row r="30" spans="1:6" ht="12.75">
      <c r="A30" s="14"/>
      <c r="B30" s="14"/>
      <c r="C30" s="5"/>
      <c r="D30" s="36"/>
      <c r="E30" s="5"/>
      <c r="F30" s="36"/>
    </row>
    <row r="31" ht="13.5" thickBot="1"/>
    <row r="32" spans="1:3" ht="20.25" customHeight="1" thickBot="1">
      <c r="A32" s="372" t="s">
        <v>67</v>
      </c>
      <c r="B32" s="414"/>
      <c r="C32" s="373"/>
    </row>
    <row r="34" spans="1:6" ht="12.75">
      <c r="A34" s="26" t="s">
        <v>34</v>
      </c>
      <c r="B34" s="28" t="s">
        <v>158</v>
      </c>
      <c r="C34" s="22" t="s">
        <v>35</v>
      </c>
      <c r="D34" s="22" t="s">
        <v>36</v>
      </c>
      <c r="E34" s="22" t="s">
        <v>61</v>
      </c>
      <c r="F34" s="21" t="s">
        <v>37</v>
      </c>
    </row>
    <row r="35" spans="1:7" ht="12.75">
      <c r="A35" s="27" t="s">
        <v>157</v>
      </c>
      <c r="B35" s="215">
        <v>50</v>
      </c>
      <c r="C35" s="207">
        <v>15000</v>
      </c>
      <c r="D35" s="219">
        <v>16200</v>
      </c>
      <c r="E35" s="215">
        <v>3</v>
      </c>
      <c r="F35" s="99">
        <f>D35*E35</f>
        <v>48600</v>
      </c>
      <c r="G35" s="30" t="s">
        <v>90</v>
      </c>
    </row>
    <row r="36" spans="1:7" ht="12.75">
      <c r="A36" s="27" t="s">
        <v>402</v>
      </c>
      <c r="B36" s="215">
        <v>75</v>
      </c>
      <c r="C36" s="207">
        <v>15000</v>
      </c>
      <c r="D36" s="219">
        <v>19800</v>
      </c>
      <c r="E36" s="215">
        <v>3</v>
      </c>
      <c r="F36" s="99">
        <f>D36*E36</f>
        <v>59400</v>
      </c>
      <c r="G36" s="192">
        <v>8</v>
      </c>
    </row>
    <row r="37" spans="1:7" ht="12.75">
      <c r="A37" s="27" t="s">
        <v>165</v>
      </c>
      <c r="B37" s="2" t="s">
        <v>92</v>
      </c>
      <c r="C37" s="88"/>
      <c r="D37" s="219">
        <v>4800</v>
      </c>
      <c r="E37" s="80">
        <f>E35*2+E36*2</f>
        <v>12</v>
      </c>
      <c r="F37" s="99">
        <f>D37*E37</f>
        <v>57600</v>
      </c>
      <c r="G37" s="5"/>
    </row>
    <row r="39" ht="13.5" thickBot="1"/>
    <row r="40" spans="1:3" ht="19.5" customHeight="1" thickBot="1">
      <c r="A40" s="372" t="s">
        <v>38</v>
      </c>
      <c r="B40" s="414"/>
      <c r="C40" s="373"/>
    </row>
    <row r="42" spans="1:7" ht="12.75">
      <c r="A42" s="26" t="s">
        <v>34</v>
      </c>
      <c r="B42" s="28" t="s">
        <v>84</v>
      </c>
      <c r="C42" s="22" t="s">
        <v>35</v>
      </c>
      <c r="D42" s="22" t="s">
        <v>36</v>
      </c>
      <c r="E42" s="22" t="s">
        <v>61</v>
      </c>
      <c r="F42" s="21" t="s">
        <v>37</v>
      </c>
      <c r="G42" s="31"/>
    </row>
    <row r="43" spans="1:7" ht="12.75">
      <c r="A43" s="27" t="s">
        <v>159</v>
      </c>
      <c r="B43" s="215">
        <v>45</v>
      </c>
      <c r="C43" s="207">
        <v>20000</v>
      </c>
      <c r="D43" s="219">
        <v>96000</v>
      </c>
      <c r="E43" s="82">
        <f>C12</f>
        <v>1</v>
      </c>
      <c r="F43" s="99">
        <f>D43*E43</f>
        <v>96000</v>
      </c>
      <c r="G43" s="30" t="s">
        <v>90</v>
      </c>
    </row>
    <row r="44" spans="1:7" ht="12.75">
      <c r="A44" s="29" t="s">
        <v>166</v>
      </c>
      <c r="B44" s="2" t="s">
        <v>92</v>
      </c>
      <c r="C44" s="3"/>
      <c r="D44" s="219">
        <v>6000</v>
      </c>
      <c r="E44" s="82">
        <f>E43</f>
        <v>1</v>
      </c>
      <c r="F44" s="99">
        <f>D44*E44</f>
        <v>6000</v>
      </c>
      <c r="G44" s="192">
        <v>7.4</v>
      </c>
    </row>
    <row r="45" spans="1:7" ht="13.5" thickBot="1">
      <c r="A45" s="14"/>
      <c r="B45" s="14"/>
      <c r="C45" s="5"/>
      <c r="D45" s="5"/>
      <c r="E45" s="5"/>
      <c r="F45" s="5"/>
      <c r="G45" s="5"/>
    </row>
    <row r="46" spans="1:7" ht="13.5" thickBot="1">
      <c r="A46" s="166" t="s">
        <v>160</v>
      </c>
      <c r="B46" s="412">
        <f>F44+F43+F37+F36+F35</f>
        <v>267600</v>
      </c>
      <c r="C46" s="413"/>
      <c r="D46" s="5"/>
      <c r="E46" s="5"/>
      <c r="F46" s="5"/>
      <c r="G46" s="5"/>
    </row>
    <row r="47" spans="1:7" ht="12.75">
      <c r="A47" s="14"/>
      <c r="B47" s="14"/>
      <c r="C47" s="5"/>
      <c r="D47" s="5"/>
      <c r="E47" s="5"/>
      <c r="F47" s="5"/>
      <c r="G47" s="5"/>
    </row>
    <row r="48" spans="1:7" ht="12.75">
      <c r="A48" s="256" t="s">
        <v>572</v>
      </c>
      <c r="B48" s="14"/>
      <c r="C48" s="5"/>
      <c r="D48" s="5"/>
      <c r="E48" s="5"/>
      <c r="F48" s="5"/>
      <c r="G48" s="5"/>
    </row>
    <row r="49" spans="1:7" ht="12.75">
      <c r="A49" s="14"/>
      <c r="B49" s="14"/>
      <c r="C49" s="5"/>
      <c r="D49" s="5"/>
      <c r="E49" s="5"/>
      <c r="F49" s="5"/>
      <c r="G49" s="5"/>
    </row>
    <row r="50" spans="1:8" ht="21" customHeight="1">
      <c r="A50" s="14"/>
      <c r="B50" s="14"/>
      <c r="C50" s="5"/>
      <c r="D50" s="5"/>
      <c r="E50" s="5"/>
      <c r="F50" s="351" t="s">
        <v>583</v>
      </c>
      <c r="G50" s="351"/>
      <c r="H50" s="351"/>
    </row>
    <row r="51" spans="1:8" ht="21" customHeight="1">
      <c r="A51" s="14"/>
      <c r="B51" s="14"/>
      <c r="C51" s="5"/>
      <c r="D51" s="5"/>
      <c r="E51" s="5"/>
      <c r="F51" s="351"/>
      <c r="G51" s="351"/>
      <c r="H51" s="351"/>
    </row>
    <row r="52" spans="1:7" ht="12.75">
      <c r="A52" s="14"/>
      <c r="B52" s="14"/>
      <c r="C52" s="5"/>
      <c r="D52" s="5"/>
      <c r="E52" s="5"/>
      <c r="F52" s="5"/>
      <c r="G52" s="5"/>
    </row>
    <row r="53" spans="1:7" ht="12.75">
      <c r="A53" s="14"/>
      <c r="B53" s="14"/>
      <c r="C53" s="5"/>
      <c r="D53" s="5"/>
      <c r="E53" s="5"/>
      <c r="F53" s="5"/>
      <c r="G53" s="5"/>
    </row>
    <row r="54" ht="13.5" thickBot="1"/>
    <row r="55" spans="1:8" ht="18" customHeight="1" thickBot="1">
      <c r="A55" s="372" t="s">
        <v>39</v>
      </c>
      <c r="B55" s="414"/>
      <c r="C55" s="373"/>
      <c r="E55" s="409" t="s">
        <v>520</v>
      </c>
      <c r="F55" s="410"/>
      <c r="G55" s="411"/>
      <c r="H55" s="251">
        <f>(Datos!D113/Maqui!C13)</f>
        <v>1</v>
      </c>
    </row>
    <row r="57" spans="1:7" ht="12.75">
      <c r="A57" s="59" t="s">
        <v>34</v>
      </c>
      <c r="B57" s="22" t="s">
        <v>294</v>
      </c>
      <c r="C57" s="22" t="s">
        <v>162</v>
      </c>
      <c r="D57" s="22" t="s">
        <v>36</v>
      </c>
      <c r="E57" s="22" t="s">
        <v>61</v>
      </c>
      <c r="F57" s="21" t="s">
        <v>37</v>
      </c>
      <c r="G57" s="22" t="s">
        <v>35</v>
      </c>
    </row>
    <row r="58" spans="1:7" ht="12.75">
      <c r="A58" s="27" t="s">
        <v>161</v>
      </c>
      <c r="B58" s="216">
        <v>25</v>
      </c>
      <c r="C58" s="215">
        <v>262</v>
      </c>
      <c r="D58" s="224">
        <v>240000</v>
      </c>
      <c r="E58" s="80">
        <f>C13</f>
        <v>1</v>
      </c>
      <c r="F58" s="170">
        <f>D58*E58</f>
        <v>240000</v>
      </c>
      <c r="G58" s="207">
        <v>30000</v>
      </c>
    </row>
    <row r="59" spans="1:6" ht="12.75">
      <c r="A59" s="422"/>
      <c r="B59" s="422"/>
      <c r="C59" s="8"/>
      <c r="D59" s="41"/>
      <c r="E59" s="8"/>
      <c r="F59" s="41"/>
    </row>
    <row r="60" ht="13.5" thickBot="1"/>
    <row r="61" spans="1:3" ht="22.5" customHeight="1" thickBot="1">
      <c r="A61" s="372" t="s">
        <v>68</v>
      </c>
      <c r="B61" s="414"/>
      <c r="C61" s="373"/>
    </row>
    <row r="63" spans="1:7" ht="12.75">
      <c r="A63" s="415" t="s">
        <v>34</v>
      </c>
      <c r="B63" s="416"/>
      <c r="C63" s="22" t="s">
        <v>162</v>
      </c>
      <c r="D63" s="22" t="s">
        <v>36</v>
      </c>
      <c r="E63" s="22" t="s">
        <v>61</v>
      </c>
      <c r="F63" s="21" t="s">
        <v>37</v>
      </c>
      <c r="G63" s="22" t="s">
        <v>35</v>
      </c>
    </row>
    <row r="64" spans="1:7" ht="12.75">
      <c r="A64" s="417" t="s">
        <v>163</v>
      </c>
      <c r="B64" s="418"/>
      <c r="C64" s="215">
        <v>328</v>
      </c>
      <c r="D64" s="224">
        <v>420000</v>
      </c>
      <c r="E64" s="80">
        <f>C10/2</f>
        <v>1</v>
      </c>
      <c r="F64" s="170">
        <f>D64*E64</f>
        <v>420000</v>
      </c>
      <c r="G64" s="207">
        <v>30000</v>
      </c>
    </row>
    <row r="65" spans="1:8" ht="12.75">
      <c r="A65" s="417" t="s">
        <v>164</v>
      </c>
      <c r="B65" s="418"/>
      <c r="C65" s="215">
        <v>360</v>
      </c>
      <c r="D65" s="224">
        <v>540000</v>
      </c>
      <c r="E65" s="80">
        <f>C10/2</f>
        <v>1</v>
      </c>
      <c r="F65" s="170">
        <f>D65*E65</f>
        <v>540000</v>
      </c>
      <c r="G65" s="207">
        <v>30000</v>
      </c>
      <c r="H65" t="s">
        <v>282</v>
      </c>
    </row>
    <row r="66" spans="1:6" ht="12.75">
      <c r="A66" s="417" t="s">
        <v>69</v>
      </c>
      <c r="B66" s="418"/>
      <c r="C66" s="2" t="s">
        <v>92</v>
      </c>
      <c r="D66" s="224">
        <v>24000</v>
      </c>
      <c r="E66" s="80">
        <f>C10</f>
        <v>2</v>
      </c>
      <c r="F66" s="170">
        <f>D66*E66</f>
        <v>48000</v>
      </c>
    </row>
    <row r="67" ht="13.5" thickBot="1"/>
    <row r="68" spans="1:3" ht="13.5" thickBot="1">
      <c r="A68" s="166" t="s">
        <v>168</v>
      </c>
      <c r="B68" s="412">
        <f>F66+F65+F64+F58</f>
        <v>1248000</v>
      </c>
      <c r="C68" s="413"/>
    </row>
    <row r="69" ht="13.5" thickBot="1"/>
    <row r="70" spans="1:3" ht="21" customHeight="1" thickBot="1">
      <c r="A70" s="372" t="s">
        <v>40</v>
      </c>
      <c r="B70" s="414"/>
      <c r="C70" s="16"/>
    </row>
    <row r="72" spans="1:7" ht="12.75">
      <c r="A72" s="415" t="s">
        <v>34</v>
      </c>
      <c r="B72" s="416"/>
      <c r="C72" s="22" t="s">
        <v>162</v>
      </c>
      <c r="D72" s="22" t="s">
        <v>36</v>
      </c>
      <c r="E72" s="22" t="s">
        <v>61</v>
      </c>
      <c r="F72" s="21" t="s">
        <v>37</v>
      </c>
      <c r="G72" s="22" t="s">
        <v>35</v>
      </c>
    </row>
    <row r="73" spans="1:7" ht="12.75">
      <c r="A73" s="322" t="s">
        <v>167</v>
      </c>
      <c r="B73" s="323"/>
      <c r="C73" s="3"/>
      <c r="D73" s="219">
        <v>9000</v>
      </c>
      <c r="E73" s="192">
        <v>0</v>
      </c>
      <c r="F73" s="99">
        <f>D73*E73</f>
        <v>0</v>
      </c>
      <c r="G73" s="207">
        <v>30000</v>
      </c>
    </row>
    <row r="75" ht="13.5" thickBot="1"/>
    <row r="76" spans="1:3" ht="21.75" customHeight="1" thickBot="1">
      <c r="A76" s="372" t="s">
        <v>41</v>
      </c>
      <c r="B76" s="414"/>
      <c r="C76" s="373"/>
    </row>
    <row r="78" spans="1:6" ht="12.75">
      <c r="A78" s="415" t="s">
        <v>34</v>
      </c>
      <c r="B78" s="416"/>
      <c r="C78" s="22" t="s">
        <v>35</v>
      </c>
      <c r="D78" s="22" t="s">
        <v>36</v>
      </c>
      <c r="E78" s="22" t="s">
        <v>61</v>
      </c>
      <c r="F78" s="21" t="s">
        <v>37</v>
      </c>
    </row>
    <row r="79" spans="1:6" ht="12.75">
      <c r="A79" s="322" t="s">
        <v>59</v>
      </c>
      <c r="B79" s="323"/>
      <c r="C79" s="207">
        <v>30000</v>
      </c>
      <c r="D79" s="219">
        <v>9000</v>
      </c>
      <c r="E79" s="82">
        <f>C15</f>
        <v>2</v>
      </c>
      <c r="F79" s="99">
        <f>D79*E79</f>
        <v>18000</v>
      </c>
    </row>
    <row r="80" spans="1:6" ht="12.75">
      <c r="A80" s="322" t="s">
        <v>60</v>
      </c>
      <c r="B80" s="323"/>
      <c r="C80" s="207">
        <v>30000</v>
      </c>
      <c r="D80" s="219">
        <v>15000</v>
      </c>
      <c r="E80" s="225">
        <f>ROUNDUP(B8/2,0)</f>
        <v>1</v>
      </c>
      <c r="F80" s="99">
        <f>D80*E80</f>
        <v>15000</v>
      </c>
    </row>
    <row r="81" spans="1:6" ht="12.75">
      <c r="A81" s="8"/>
      <c r="B81" s="8"/>
      <c r="C81" s="5"/>
      <c r="D81" s="112"/>
      <c r="E81" s="113"/>
      <c r="F81" s="114"/>
    </row>
    <row r="82" ht="13.5" thickBot="1"/>
    <row r="83" spans="1:3" ht="13.5" thickBot="1">
      <c r="A83" s="166" t="s">
        <v>169</v>
      </c>
      <c r="B83" s="412">
        <f>F73+F79+F80</f>
        <v>33000</v>
      </c>
      <c r="C83" s="413"/>
    </row>
    <row r="86" spans="1:6" ht="13.5" thickBot="1">
      <c r="A86" s="421"/>
      <c r="B86" s="421"/>
      <c r="C86" s="421"/>
      <c r="D86" s="38"/>
      <c r="E86" s="38"/>
      <c r="F86" s="42"/>
    </row>
    <row r="87" spans="1:5" ht="27" customHeight="1" thickBot="1">
      <c r="A87" s="396" t="s">
        <v>170</v>
      </c>
      <c r="B87" s="397"/>
      <c r="C87" s="398"/>
      <c r="D87" s="165">
        <f>ROUND(IF(Datos!C11&lt;10,Datos!C11/12*(B83+B68+B46+B29),B83+B68+B46+B29),2)</f>
        <v>1750200</v>
      </c>
      <c r="E87" s="43"/>
    </row>
    <row r="88" spans="1:6" ht="25.5">
      <c r="A88" s="254" t="s">
        <v>570</v>
      </c>
      <c r="B88" s="255"/>
      <c r="C88" s="420"/>
      <c r="D88" s="420"/>
      <c r="E88" s="42"/>
      <c r="F88" s="42"/>
    </row>
    <row r="89" spans="1:6" ht="12.75">
      <c r="A89" s="42"/>
      <c r="B89" s="42"/>
      <c r="C89" s="419"/>
      <c r="D89" s="419"/>
      <c r="E89" s="42"/>
      <c r="F89" s="42"/>
    </row>
    <row r="91" ht="12.75">
      <c r="A91" s="256" t="s">
        <v>572</v>
      </c>
    </row>
  </sheetData>
  <sheetProtection password="F5C7" sheet="1" objects="1" scenarios="1" selectLockedCells="1"/>
  <mergeCells count="29">
    <mergeCell ref="C89:D89"/>
    <mergeCell ref="A40:C40"/>
    <mergeCell ref="A32:C32"/>
    <mergeCell ref="C88:D88"/>
    <mergeCell ref="A66:B66"/>
    <mergeCell ref="A86:C86"/>
    <mergeCell ref="A59:B59"/>
    <mergeCell ref="A55:C55"/>
    <mergeCell ref="A87:C87"/>
    <mergeCell ref="B46:C46"/>
    <mergeCell ref="A1:F3"/>
    <mergeCell ref="A79:B79"/>
    <mergeCell ref="A76:C76"/>
    <mergeCell ref="A78:B78"/>
    <mergeCell ref="A61:C61"/>
    <mergeCell ref="A63:B63"/>
    <mergeCell ref="A64:B64"/>
    <mergeCell ref="A65:B65"/>
    <mergeCell ref="A20:C20"/>
    <mergeCell ref="B29:C29"/>
    <mergeCell ref="F5:H6"/>
    <mergeCell ref="F50:H51"/>
    <mergeCell ref="E55:G55"/>
    <mergeCell ref="B83:C83"/>
    <mergeCell ref="B68:C68"/>
    <mergeCell ref="A70:B70"/>
    <mergeCell ref="A73:B73"/>
    <mergeCell ref="A72:B72"/>
    <mergeCell ref="A80:B80"/>
  </mergeCells>
  <printOptions/>
  <pageMargins left="0.75" right="0.32" top="1" bottom="1" header="0" footer="0"/>
  <pageSetup firstPageNumber="11" useFirstPageNumber="1" horizontalDpi="600" verticalDpi="600" orientation="landscape" paperSize="9" scale="70" r:id="rId2"/>
  <headerFooter alignWithMargins="0">
    <oddHeader>&amp;RMODELO ECONÓMICO MÁRMOL  &amp;P</oddHeader>
  </headerFooter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3" sqref="C13"/>
    </sheetView>
  </sheetViews>
  <sheetFormatPr defaultColWidth="11.421875" defaultRowHeight="12.75"/>
  <cols>
    <col min="2" max="2" width="15.57421875" style="0" customWidth="1"/>
    <col min="3" max="3" width="14.8515625" style="0" customWidth="1"/>
    <col min="4" max="4" width="12.140625" style="0" customWidth="1"/>
    <col min="5" max="5" width="14.00390625" style="0" bestFit="1" customWidth="1"/>
    <col min="7" max="7" width="9.8515625" style="0" customWidth="1"/>
  </cols>
  <sheetData>
    <row r="1" spans="2:7" ht="23.25">
      <c r="B1" s="424" t="s">
        <v>172</v>
      </c>
      <c r="C1" s="425"/>
      <c r="D1" s="425"/>
      <c r="E1" s="426"/>
      <c r="F1" s="257"/>
      <c r="G1" s="257"/>
    </row>
    <row r="2" spans="2:7" ht="23.25">
      <c r="B2" s="427"/>
      <c r="C2" s="428"/>
      <c r="D2" s="428"/>
      <c r="E2" s="429"/>
      <c r="F2" s="257"/>
      <c r="G2" s="257"/>
    </row>
    <row r="3" spans="2:7" ht="23.25">
      <c r="B3" s="257"/>
      <c r="C3" s="257"/>
      <c r="D3" s="257"/>
      <c r="E3" s="257"/>
      <c r="F3" s="257"/>
      <c r="G3" s="257"/>
    </row>
    <row r="4" spans="4:6" ht="21" customHeight="1">
      <c r="D4" s="351" t="s">
        <v>586</v>
      </c>
      <c r="E4" s="351"/>
      <c r="F4" s="351"/>
    </row>
    <row r="5" spans="4:6" ht="21" customHeight="1">
      <c r="D5" s="351"/>
      <c r="E5" s="351"/>
      <c r="F5" s="351"/>
    </row>
    <row r="8" spans="1:5" ht="12.75">
      <c r="A8" s="336" t="s">
        <v>178</v>
      </c>
      <c r="B8" s="336"/>
      <c r="C8" s="336"/>
      <c r="D8" s="55">
        <f>ROUNDUP('M.O.'!B18/20,0)</f>
        <v>1</v>
      </c>
      <c r="E8" t="s">
        <v>526</v>
      </c>
    </row>
    <row r="9" spans="1:5" ht="12.75">
      <c r="A9" s="336" t="s">
        <v>179</v>
      </c>
      <c r="B9" s="336"/>
      <c r="C9" s="336"/>
      <c r="D9" s="55">
        <f>ROUNDUP('M.O.'!B18/40,0)</f>
        <v>1</v>
      </c>
      <c r="E9" t="s">
        <v>527</v>
      </c>
    </row>
    <row r="10" spans="1:4" ht="12.75">
      <c r="A10" s="336" t="s">
        <v>184</v>
      </c>
      <c r="B10" s="336"/>
      <c r="C10" s="336"/>
      <c r="D10" s="55">
        <f>Datos!G20</f>
        <v>1</v>
      </c>
    </row>
    <row r="11" spans="1:3" ht="12.75">
      <c r="A11" s="1"/>
      <c r="B11" s="1"/>
      <c r="C11" s="1"/>
    </row>
    <row r="12" spans="2:4" ht="18" customHeight="1">
      <c r="B12" s="44"/>
      <c r="C12" s="32" t="s">
        <v>183</v>
      </c>
      <c r="D12" s="45" t="s">
        <v>185</v>
      </c>
    </row>
    <row r="13" spans="1:4" ht="12.75">
      <c r="A13" s="423" t="s">
        <v>177</v>
      </c>
      <c r="B13" s="423"/>
      <c r="C13" s="226">
        <v>2000</v>
      </c>
      <c r="D13" s="99">
        <f>C13*($D$8+$D$9)</f>
        <v>4000</v>
      </c>
    </row>
    <row r="14" spans="1:4" ht="12.75">
      <c r="A14" s="342" t="s">
        <v>173</v>
      </c>
      <c r="B14" s="342"/>
      <c r="C14" s="226">
        <v>1200</v>
      </c>
      <c r="D14" s="99">
        <f>C14*($D$8+$D$9)</f>
        <v>2400</v>
      </c>
    </row>
    <row r="15" spans="1:4" ht="12.75">
      <c r="A15" s="342" t="s">
        <v>174</v>
      </c>
      <c r="B15" s="342"/>
      <c r="C15" s="226">
        <v>600</v>
      </c>
      <c r="D15" s="99">
        <f>C15*($D$8+$D$9)</f>
        <v>1200</v>
      </c>
    </row>
    <row r="16" spans="1:4" ht="12.75">
      <c r="A16" s="342" t="s">
        <v>175</v>
      </c>
      <c r="B16" s="342"/>
      <c r="C16" s="226">
        <v>3000</v>
      </c>
      <c r="D16" s="100">
        <f>C16*$D$10</f>
        <v>3000</v>
      </c>
    </row>
    <row r="17" spans="1:4" ht="12.75">
      <c r="A17" s="342" t="s">
        <v>176</v>
      </c>
      <c r="B17" s="342"/>
      <c r="C17" s="226">
        <v>3000</v>
      </c>
      <c r="D17" s="100">
        <f>C17*$D$10</f>
        <v>3000</v>
      </c>
    </row>
    <row r="18" spans="1:4" ht="12.75">
      <c r="A18" s="342" t="s">
        <v>180</v>
      </c>
      <c r="B18" s="342"/>
      <c r="C18" s="226">
        <v>1500</v>
      </c>
      <c r="D18" s="100">
        <f>C18*$D$10</f>
        <v>1500</v>
      </c>
    </row>
    <row r="19" spans="1:4" ht="12.75">
      <c r="A19" s="342" t="s">
        <v>181</v>
      </c>
      <c r="B19" s="342"/>
      <c r="C19" s="226">
        <v>1500</v>
      </c>
      <c r="D19" s="100">
        <f>C19*$D$10</f>
        <v>1500</v>
      </c>
    </row>
    <row r="20" spans="1:4" ht="12.75">
      <c r="A20" s="342" t="s">
        <v>182</v>
      </c>
      <c r="B20" s="342"/>
      <c r="C20" s="226">
        <v>1000</v>
      </c>
      <c r="D20" s="100">
        <f>C20*$D$10</f>
        <v>1000</v>
      </c>
    </row>
    <row r="22" ht="13.5" thickBot="1"/>
    <row r="23" spans="2:5" ht="21" customHeight="1" thickBot="1">
      <c r="B23" s="396" t="s">
        <v>186</v>
      </c>
      <c r="C23" s="397"/>
      <c r="D23" s="398"/>
      <c r="E23" s="165">
        <f>D20+D19+D18+D17+D16+D15+D14+D13</f>
        <v>17600</v>
      </c>
    </row>
    <row r="29" ht="12.75">
      <c r="A29" s="256" t="s">
        <v>572</v>
      </c>
    </row>
  </sheetData>
  <sheetProtection password="F5C7" sheet="1" objects="1" scenarios="1" selectLockedCells="1"/>
  <mergeCells count="14">
    <mergeCell ref="A13:B13"/>
    <mergeCell ref="A14:B14"/>
    <mergeCell ref="B1:E2"/>
    <mergeCell ref="D4:F5"/>
    <mergeCell ref="B23:D23"/>
    <mergeCell ref="A15:B15"/>
    <mergeCell ref="A8:C8"/>
    <mergeCell ref="A16:B16"/>
    <mergeCell ref="A20:B20"/>
    <mergeCell ref="A17:B17"/>
    <mergeCell ref="A18:B18"/>
    <mergeCell ref="A19:B19"/>
    <mergeCell ref="A10:C10"/>
    <mergeCell ref="A9:C9"/>
  </mergeCells>
  <printOptions/>
  <pageMargins left="0.75" right="0.75" top="1" bottom="1" header="0" footer="0"/>
  <pageSetup firstPageNumber="13" useFirstPageNumber="1" horizontalDpi="600" verticalDpi="600" orientation="portrait" paperSize="9" r:id="rId2"/>
  <headerFooter alignWithMargins="0">
    <oddHeader>&amp;RMODELO ECONÓMICO MÁRMOL 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1" sqref="A11"/>
    </sheetView>
  </sheetViews>
  <sheetFormatPr defaultColWidth="11.421875" defaultRowHeight="12.75"/>
  <cols>
    <col min="1" max="1" width="8.28125" style="0" customWidth="1"/>
    <col min="2" max="2" width="6.8515625" style="0" customWidth="1"/>
    <col min="5" max="5" width="14.00390625" style="0" customWidth="1"/>
    <col min="6" max="6" width="13.28125" style="0" customWidth="1"/>
    <col min="7" max="7" width="13.421875" style="0" customWidth="1"/>
  </cols>
  <sheetData>
    <row r="1" spans="2:7" ht="12.75" customHeight="1">
      <c r="B1" s="358" t="s">
        <v>17</v>
      </c>
      <c r="C1" s="359"/>
      <c r="D1" s="359"/>
      <c r="E1" s="359"/>
      <c r="F1" s="359"/>
      <c r="G1" s="360"/>
    </row>
    <row r="2" spans="2:7" ht="12.75" customHeight="1">
      <c r="B2" s="361"/>
      <c r="C2" s="362"/>
      <c r="D2" s="362"/>
      <c r="E2" s="362"/>
      <c r="F2" s="362"/>
      <c r="G2" s="363"/>
    </row>
    <row r="3" spans="2:7" ht="13.5" customHeight="1" thickBot="1">
      <c r="B3" s="364"/>
      <c r="C3" s="365"/>
      <c r="D3" s="365"/>
      <c r="E3" s="365"/>
      <c r="F3" s="365"/>
      <c r="G3" s="366"/>
    </row>
    <row r="4" spans="2:8" ht="12.75">
      <c r="B4" s="10"/>
      <c r="C4" s="10"/>
      <c r="D4" s="10"/>
      <c r="E4" s="10"/>
      <c r="F4" s="10"/>
      <c r="G4" s="10"/>
      <c r="H4" s="10"/>
    </row>
    <row r="5" spans="2:8" ht="21" customHeight="1">
      <c r="B5" s="10"/>
      <c r="C5" s="10"/>
      <c r="D5" s="10"/>
      <c r="E5" s="351" t="s">
        <v>583</v>
      </c>
      <c r="F5" s="351"/>
      <c r="G5" s="351"/>
      <c r="H5" s="10"/>
    </row>
    <row r="6" spans="2:8" ht="21" customHeight="1">
      <c r="B6" s="10"/>
      <c r="C6" s="10"/>
      <c r="D6" s="10"/>
      <c r="E6" s="351"/>
      <c r="F6" s="351"/>
      <c r="G6" s="351"/>
      <c r="H6" s="10"/>
    </row>
    <row r="7" spans="2:8" ht="12.75">
      <c r="B7" s="10"/>
      <c r="C7" s="10"/>
      <c r="D7" s="10"/>
      <c r="E7" s="10"/>
      <c r="F7" s="10"/>
      <c r="G7" s="10"/>
      <c r="H7" s="10"/>
    </row>
    <row r="8" spans="2:8" ht="12.75">
      <c r="B8" s="10"/>
      <c r="C8" s="10"/>
      <c r="D8" s="10"/>
      <c r="E8" s="10"/>
      <c r="F8" s="10"/>
      <c r="G8" s="10"/>
      <c r="H8" s="10"/>
    </row>
    <row r="9" spans="2:8" ht="12.75">
      <c r="B9" s="10"/>
      <c r="C9" s="10"/>
      <c r="D9" s="10"/>
      <c r="E9" s="10"/>
      <c r="F9" s="10"/>
      <c r="G9" s="10"/>
      <c r="H9" s="10"/>
    </row>
    <row r="10" spans="1:8" ht="12.75">
      <c r="A10" s="343" t="s">
        <v>202</v>
      </c>
      <c r="B10" s="343"/>
      <c r="C10" s="10"/>
      <c r="D10" s="10"/>
      <c r="E10" s="11" t="s">
        <v>198</v>
      </c>
      <c r="F10" s="11" t="s">
        <v>199</v>
      </c>
      <c r="G10" s="2" t="s">
        <v>204</v>
      </c>
      <c r="H10" s="10"/>
    </row>
    <row r="11" spans="1:8" ht="12.75">
      <c r="A11" s="223" t="s">
        <v>92</v>
      </c>
      <c r="B11" s="89">
        <f>IF(Datos!C14&lt;10000,0.3,ROUND(Datos!C14/30000,1))</f>
        <v>0.3</v>
      </c>
      <c r="C11" s="343" t="s">
        <v>201</v>
      </c>
      <c r="D11" s="343"/>
      <c r="E11" s="228">
        <v>60000</v>
      </c>
      <c r="F11" s="101">
        <f>E11*0.3</f>
        <v>18000</v>
      </c>
      <c r="G11" s="99">
        <f aca="true" t="shared" si="0" ref="G11:G16">(E11+F11)*B11</f>
        <v>23400</v>
      </c>
      <c r="H11" s="10"/>
    </row>
    <row r="12" spans="1:8" ht="12.75">
      <c r="A12" s="227">
        <v>1</v>
      </c>
      <c r="B12" s="89">
        <f>IF(A12=0,ROUNDDOWN(Datos!F19/10,0),A12)</f>
        <v>1</v>
      </c>
      <c r="C12" s="431" t="s">
        <v>16</v>
      </c>
      <c r="D12" s="432"/>
      <c r="E12" s="228">
        <v>40000</v>
      </c>
      <c r="F12" s="101">
        <f aca="true" t="shared" si="1" ref="F12:F17">E12*0.3</f>
        <v>12000</v>
      </c>
      <c r="G12" s="99">
        <f t="shared" si="0"/>
        <v>52000</v>
      </c>
      <c r="H12" s="10"/>
    </row>
    <row r="13" spans="1:8" ht="12.75">
      <c r="A13" s="192">
        <v>0</v>
      </c>
      <c r="B13" s="89">
        <f>A13</f>
        <v>0</v>
      </c>
      <c r="C13" s="431" t="s">
        <v>15</v>
      </c>
      <c r="D13" s="432"/>
      <c r="E13" s="228">
        <v>33000</v>
      </c>
      <c r="F13" s="101">
        <f t="shared" si="1"/>
        <v>9900</v>
      </c>
      <c r="G13" s="99">
        <f>(E13+F13)*B13</f>
        <v>0</v>
      </c>
      <c r="H13" s="10"/>
    </row>
    <row r="14" spans="1:8" ht="12.75">
      <c r="A14" s="192">
        <v>0</v>
      </c>
      <c r="B14" s="89">
        <f>A14</f>
        <v>0</v>
      </c>
      <c r="C14" s="431" t="s">
        <v>14</v>
      </c>
      <c r="D14" s="432"/>
      <c r="E14" s="228">
        <v>28000</v>
      </c>
      <c r="F14" s="101">
        <f t="shared" si="1"/>
        <v>8400</v>
      </c>
      <c r="G14" s="99">
        <f t="shared" si="0"/>
        <v>0</v>
      </c>
      <c r="H14" s="10"/>
    </row>
    <row r="15" spans="1:8" ht="12.75">
      <c r="A15" s="192">
        <v>0</v>
      </c>
      <c r="B15" s="89">
        <f>A15</f>
        <v>0</v>
      </c>
      <c r="C15" s="431" t="s">
        <v>13</v>
      </c>
      <c r="D15" s="432"/>
      <c r="E15" s="228">
        <v>28000</v>
      </c>
      <c r="F15" s="101">
        <f t="shared" si="1"/>
        <v>8400</v>
      </c>
      <c r="G15" s="99">
        <f t="shared" si="0"/>
        <v>0</v>
      </c>
      <c r="H15" s="10"/>
    </row>
    <row r="16" spans="1:8" ht="12.75">
      <c r="A16" s="192">
        <v>0</v>
      </c>
      <c r="B16" s="89">
        <f>A16</f>
        <v>0</v>
      </c>
      <c r="C16" s="431" t="s">
        <v>12</v>
      </c>
      <c r="D16" s="432"/>
      <c r="E16" s="228">
        <v>28000</v>
      </c>
      <c r="F16" s="101">
        <f t="shared" si="1"/>
        <v>8400</v>
      </c>
      <c r="G16" s="99">
        <f t="shared" si="0"/>
        <v>0</v>
      </c>
      <c r="H16" s="10"/>
    </row>
    <row r="17" spans="1:8" ht="12.75">
      <c r="A17" s="192">
        <v>8</v>
      </c>
      <c r="B17" s="89">
        <f>IF(A17=0,Datos!F19-SUM(B12:B16),A17)</f>
        <v>8</v>
      </c>
      <c r="C17" s="343" t="s">
        <v>203</v>
      </c>
      <c r="D17" s="343"/>
      <c r="E17" s="228">
        <v>28000</v>
      </c>
      <c r="F17" s="101">
        <f t="shared" si="1"/>
        <v>8400</v>
      </c>
      <c r="G17" s="99">
        <f>(E17+F17)*B17</f>
        <v>291200</v>
      </c>
      <c r="H17" s="10"/>
    </row>
    <row r="18" spans="1:8" ht="12.75">
      <c r="A18" s="55"/>
      <c r="B18" s="97">
        <f>SUM(B11:B17)</f>
        <v>9.3</v>
      </c>
      <c r="C18" s="10"/>
      <c r="D18" s="10"/>
      <c r="E18" s="10"/>
      <c r="F18" s="10"/>
      <c r="G18" s="10"/>
      <c r="H18" s="10"/>
    </row>
    <row r="19" spans="2:8" ht="12.75">
      <c r="B19" s="10"/>
      <c r="C19" s="10"/>
      <c r="D19" s="434"/>
      <c r="E19" s="434"/>
      <c r="F19" s="430"/>
      <c r="G19" s="43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ht="13.5" thickBot="1"/>
    <row r="22" spans="3:6" ht="28.5" customHeight="1" thickBot="1">
      <c r="C22" s="396" t="s">
        <v>200</v>
      </c>
      <c r="D22" s="397"/>
      <c r="E22" s="398"/>
      <c r="F22" s="165">
        <f>ROUND(Datos!C11/12*(G11+G12+G13+G14+G15+G16+G17),2)</f>
        <v>366600</v>
      </c>
    </row>
    <row r="25" spans="3:6" ht="15.75">
      <c r="C25" s="433" t="s">
        <v>205</v>
      </c>
      <c r="D25" s="433"/>
      <c r="E25" s="433"/>
      <c r="F25" s="131">
        <f>F22/Datos!C14</f>
        <v>61.1</v>
      </c>
    </row>
    <row r="27" spans="3:6" ht="15.75">
      <c r="C27" s="433" t="s">
        <v>445</v>
      </c>
      <c r="D27" s="433"/>
      <c r="E27" s="433"/>
      <c r="F27" s="130">
        <f>ROUND((Datos!C14/SUM(B12:B17)),2)</f>
        <v>666.67</v>
      </c>
    </row>
    <row r="28" ht="12.75">
      <c r="F28" s="55"/>
    </row>
    <row r="34" ht="12.75">
      <c r="A34" s="256" t="s">
        <v>572</v>
      </c>
    </row>
  </sheetData>
  <sheetProtection password="F5C7" sheet="1" objects="1" scenarios="1" selectLockedCells="1"/>
  <mergeCells count="15">
    <mergeCell ref="C11:D11"/>
    <mergeCell ref="C27:E27"/>
    <mergeCell ref="C22:E22"/>
    <mergeCell ref="C25:E25"/>
    <mergeCell ref="D19:E19"/>
    <mergeCell ref="E5:G6"/>
    <mergeCell ref="B1:G3"/>
    <mergeCell ref="F19:G19"/>
    <mergeCell ref="A10:B10"/>
    <mergeCell ref="C16:D16"/>
    <mergeCell ref="C17:D17"/>
    <mergeCell ref="C15:D15"/>
    <mergeCell ref="C12:D12"/>
    <mergeCell ref="C13:D13"/>
    <mergeCell ref="C14:D14"/>
  </mergeCells>
  <printOptions/>
  <pageMargins left="0.75" right="0.75" top="1" bottom="1" header="0" footer="0"/>
  <pageSetup firstPageNumber="14" useFirstPageNumber="1" horizontalDpi="600" verticalDpi="600" orientation="portrait" paperSize="9" r:id="rId2"/>
  <headerFooter alignWithMargins="0">
    <oddHeader>&amp;RMODELO ECONÓMICO MÁRMOL  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8"/>
  <sheetViews>
    <sheetView view="pageBreakPreview" zoomScale="60" workbookViewId="0" topLeftCell="A238">
      <selection activeCell="D314" sqref="D314"/>
    </sheetView>
  </sheetViews>
  <sheetFormatPr defaultColWidth="11.421875" defaultRowHeight="12.75"/>
  <cols>
    <col min="1" max="1" width="11.421875" style="10" customWidth="1"/>
    <col min="2" max="2" width="22.28125" style="10" customWidth="1"/>
    <col min="3" max="3" width="18.7109375" style="10" customWidth="1"/>
    <col min="4" max="4" width="17.8515625" style="10" customWidth="1"/>
    <col min="5" max="5" width="14.8515625" style="10" customWidth="1"/>
    <col min="6" max="6" width="11.00390625" style="10" customWidth="1"/>
    <col min="7" max="16384" width="11.421875" style="10" customWidth="1"/>
  </cols>
  <sheetData>
    <row r="1" spans="2:4" ht="24" thickBot="1">
      <c r="B1" s="73"/>
      <c r="C1" s="73" t="s">
        <v>18</v>
      </c>
      <c r="D1" s="74"/>
    </row>
    <row r="3" spans="4:6" ht="21" customHeight="1">
      <c r="D3" s="435" t="s">
        <v>583</v>
      </c>
      <c r="E3" s="435"/>
      <c r="F3" s="435"/>
    </row>
    <row r="4" spans="4:6" ht="21" customHeight="1">
      <c r="D4" s="435"/>
      <c r="E4" s="435"/>
      <c r="F4" s="435"/>
    </row>
    <row r="8" spans="2:5" ht="18.75" thickBot="1">
      <c r="B8" s="71" t="s">
        <v>376</v>
      </c>
      <c r="D8" s="105" t="s">
        <v>377</v>
      </c>
      <c r="E8" s="105" t="s">
        <v>378</v>
      </c>
    </row>
    <row r="9" spans="2:5" ht="13.5" customHeight="1" thickBot="1">
      <c r="B9" s="396" t="s">
        <v>318</v>
      </c>
      <c r="C9" s="398"/>
      <c r="D9" s="135">
        <f>E41</f>
        <v>19321.600000000002</v>
      </c>
      <c r="E9" s="135">
        <f>D9/Datos!$C$14</f>
        <v>3.220266666666667</v>
      </c>
    </row>
    <row r="10" spans="2:5" ht="16.5" thickBot="1">
      <c r="B10" s="396" t="s">
        <v>319</v>
      </c>
      <c r="C10" s="398"/>
      <c r="D10" s="135">
        <f>E70</f>
        <v>10512</v>
      </c>
      <c r="E10" s="135">
        <f>D10/Datos!$C$14</f>
        <v>1.752</v>
      </c>
    </row>
    <row r="11" spans="2:5" ht="16.5" thickBot="1">
      <c r="B11" s="396" t="s">
        <v>320</v>
      </c>
      <c r="C11" s="398"/>
      <c r="D11" s="135">
        <f>E94</f>
        <v>6400</v>
      </c>
      <c r="E11" s="135">
        <f>D11/Datos!$C$14</f>
        <v>1.0666666666666667</v>
      </c>
    </row>
    <row r="12" spans="2:5" ht="16.5" thickBot="1">
      <c r="B12" s="396" t="s">
        <v>342</v>
      </c>
      <c r="C12" s="398"/>
      <c r="D12" s="135">
        <f>E108</f>
        <v>280</v>
      </c>
      <c r="E12" s="135">
        <f>D12/Datos!$C$14</f>
        <v>0.04666666666666667</v>
      </c>
    </row>
    <row r="13" spans="2:5" ht="16.5" thickBot="1">
      <c r="B13" s="396" t="s">
        <v>447</v>
      </c>
      <c r="C13" s="398"/>
      <c r="D13" s="135">
        <f>E120</f>
        <v>1848</v>
      </c>
      <c r="E13" s="135">
        <f>D13/Datos!$C$14</f>
        <v>0.308</v>
      </c>
    </row>
    <row r="14" spans="2:5" ht="16.5" thickBot="1">
      <c r="B14" s="396" t="s">
        <v>358</v>
      </c>
      <c r="C14" s="398"/>
      <c r="D14" s="237">
        <f>E140</f>
        <v>11587.2192</v>
      </c>
      <c r="E14" s="135">
        <f>D14/Datos!$C$14</f>
        <v>1.9312032</v>
      </c>
    </row>
    <row r="15" spans="2:5" ht="16.5" thickBot="1">
      <c r="B15" s="396" t="s">
        <v>275</v>
      </c>
      <c r="C15" s="398"/>
      <c r="D15" s="135">
        <f>E214</f>
        <v>65963.34824</v>
      </c>
      <c r="E15" s="135">
        <f>D15/Datos!$C$14</f>
        <v>10.993891373333334</v>
      </c>
    </row>
    <row r="16" spans="2:5" ht="16.5" thickBot="1">
      <c r="B16" s="396" t="s">
        <v>262</v>
      </c>
      <c r="C16" s="398"/>
      <c r="D16" s="135">
        <f>E265</f>
        <v>19397.535499999998</v>
      </c>
      <c r="E16" s="135">
        <f>D16/Datos!$C$14</f>
        <v>3.232922583333333</v>
      </c>
    </row>
    <row r="17" spans="2:5" ht="16.5" thickBot="1">
      <c r="B17" s="396" t="s">
        <v>277</v>
      </c>
      <c r="C17" s="398"/>
      <c r="D17" s="135">
        <f>E308</f>
        <v>39001.5</v>
      </c>
      <c r="E17" s="135">
        <f>D17/Datos!$C$14</f>
        <v>6.50025</v>
      </c>
    </row>
    <row r="18" spans="2:5" ht="16.5" thickBot="1">
      <c r="B18" s="396" t="s">
        <v>355</v>
      </c>
      <c r="C18" s="398"/>
      <c r="D18" s="135">
        <f>E323</f>
        <v>10596</v>
      </c>
      <c r="E18" s="135">
        <f>D18/Datos!$C$14</f>
        <v>1.766</v>
      </c>
    </row>
    <row r="19" spans="2:5" ht="16.5" thickBot="1">
      <c r="B19" s="396" t="s">
        <v>357</v>
      </c>
      <c r="C19" s="398"/>
      <c r="D19" s="135">
        <f>E335</f>
        <v>120000</v>
      </c>
      <c r="E19" s="135">
        <f>D19/Datos!$C$14</f>
        <v>20</v>
      </c>
    </row>
    <row r="20" spans="4:5" ht="12.75">
      <c r="D20" s="186">
        <f>SUM(D9:D19)</f>
        <v>304907.20294</v>
      </c>
      <c r="E20" s="72">
        <f>D20/Datos!$C$14</f>
        <v>50.817867156666665</v>
      </c>
    </row>
    <row r="24" ht="13.5" thickBot="1"/>
    <row r="25" spans="1:3" ht="20.25" customHeight="1" thickBot="1">
      <c r="A25" s="372" t="s">
        <v>43</v>
      </c>
      <c r="B25" s="414"/>
      <c r="C25" s="373"/>
    </row>
    <row r="27" spans="2:4" ht="12.75">
      <c r="B27" s="343" t="s">
        <v>529</v>
      </c>
      <c r="C27" s="343"/>
      <c r="D27" s="208">
        <v>750</v>
      </c>
    </row>
    <row r="28" spans="2:4" ht="12.75">
      <c r="B28" s="431" t="s">
        <v>91</v>
      </c>
      <c r="C28" s="432"/>
      <c r="D28" s="89">
        <f>Maqui!G36</f>
        <v>8</v>
      </c>
    </row>
    <row r="29" spans="2:4" ht="12.75">
      <c r="B29" s="343" t="s">
        <v>58</v>
      </c>
      <c r="C29" s="343"/>
      <c r="D29" s="208">
        <v>80</v>
      </c>
    </row>
    <row r="30" spans="2:4" ht="12.75">
      <c r="B30" s="343" t="s">
        <v>45</v>
      </c>
      <c r="C30" s="343"/>
      <c r="D30" s="230">
        <v>60</v>
      </c>
    </row>
    <row r="31" spans="2:4" ht="12.75">
      <c r="B31" s="343" t="s">
        <v>46</v>
      </c>
      <c r="C31" s="343"/>
      <c r="D31" s="230">
        <v>3.6</v>
      </c>
    </row>
    <row r="32" spans="2:4" ht="12.75">
      <c r="B32" s="343" t="s">
        <v>253</v>
      </c>
      <c r="C32" s="343"/>
      <c r="D32" s="208">
        <v>1000</v>
      </c>
    </row>
    <row r="33" spans="2:4" ht="12.75">
      <c r="B33" s="343" t="s">
        <v>251</v>
      </c>
      <c r="C33" s="343"/>
      <c r="D33" s="208">
        <v>8</v>
      </c>
    </row>
    <row r="34" spans="2:4" ht="12.75">
      <c r="B34" s="343" t="s">
        <v>254</v>
      </c>
      <c r="C34" s="343"/>
      <c r="D34" s="89">
        <f>D32*(D33+1)</f>
        <v>9000</v>
      </c>
    </row>
    <row r="35" spans="2:4" ht="12.75">
      <c r="B35" s="343" t="s">
        <v>252</v>
      </c>
      <c r="C35" s="343"/>
      <c r="D35" s="89">
        <f>D34/D29</f>
        <v>112.5</v>
      </c>
    </row>
    <row r="36" spans="2:4" ht="12.75">
      <c r="B36" s="345" t="s">
        <v>316</v>
      </c>
      <c r="C36" s="345"/>
      <c r="D36" s="89">
        <f>ROUND(Datos!D101+Datos!D87+Datos!D67,1)</f>
        <v>22642.5</v>
      </c>
    </row>
    <row r="37" spans="2:4" ht="12.75">
      <c r="B37" s="440" t="s">
        <v>89</v>
      </c>
      <c r="C37" s="440"/>
      <c r="D37" s="89">
        <f>ROUND(D36/D28,1)</f>
        <v>2830.3</v>
      </c>
    </row>
    <row r="38" ht="13.5" thickBot="1"/>
    <row r="39" spans="3:6" ht="13.5" thickBot="1">
      <c r="C39" s="453" t="s">
        <v>260</v>
      </c>
      <c r="D39" s="454"/>
      <c r="E39" s="135">
        <f>((10*D31+D30)*D29)/D34</f>
        <v>0.8533333333333334</v>
      </c>
      <c r="F39" s="23"/>
    </row>
    <row r="40" ht="13.5" thickBot="1"/>
    <row r="41" spans="2:5" ht="19.5" customHeight="1" thickBot="1">
      <c r="B41" s="396" t="s">
        <v>318</v>
      </c>
      <c r="C41" s="397"/>
      <c r="D41" s="398"/>
      <c r="E41" s="135">
        <f>E39*D36</f>
        <v>19321.600000000002</v>
      </c>
    </row>
    <row r="42" spans="2:5" ht="19.5" customHeight="1">
      <c r="B42" s="63"/>
      <c r="C42" s="63"/>
      <c r="D42" s="63"/>
      <c r="E42" s="62"/>
    </row>
    <row r="43" spans="2:5" ht="19.5" customHeight="1">
      <c r="B43" s="63"/>
      <c r="C43" s="63"/>
      <c r="D43" s="63"/>
      <c r="E43" s="62"/>
    </row>
    <row r="44" spans="1:5" ht="19.5" customHeight="1">
      <c r="A44" s="256" t="s">
        <v>572</v>
      </c>
      <c r="B44" s="63"/>
      <c r="C44" s="63"/>
      <c r="D44" s="63"/>
      <c r="E44" s="62"/>
    </row>
    <row r="45" spans="3:4" ht="12" customHeight="1">
      <c r="C45" s="455"/>
      <c r="D45" s="455"/>
    </row>
    <row r="46" spans="4:6" ht="13.5" customHeight="1" thickBot="1">
      <c r="D46" s="435" t="s">
        <v>583</v>
      </c>
      <c r="E46" s="435"/>
      <c r="F46" s="435"/>
    </row>
    <row r="47" spans="1:6" ht="20.25" customHeight="1" thickBot="1">
      <c r="A47" s="372" t="s">
        <v>54</v>
      </c>
      <c r="B47" s="414"/>
      <c r="C47" s="373"/>
      <c r="D47" s="435"/>
      <c r="E47" s="435"/>
      <c r="F47" s="435"/>
    </row>
    <row r="50" spans="2:4" ht="12.75">
      <c r="B50" s="343" t="s">
        <v>55</v>
      </c>
      <c r="C50" s="343"/>
      <c r="D50" s="229">
        <v>1</v>
      </c>
    </row>
    <row r="51" spans="2:5" ht="12.75">
      <c r="B51" s="431" t="s">
        <v>263</v>
      </c>
      <c r="C51" s="432"/>
      <c r="D51" s="229">
        <v>115</v>
      </c>
      <c r="E51" s="10" t="s">
        <v>489</v>
      </c>
    </row>
    <row r="52" spans="2:5" ht="12.75">
      <c r="B52" s="343" t="s">
        <v>269</v>
      </c>
      <c r="C52" s="343"/>
      <c r="D52" s="229">
        <v>120</v>
      </c>
      <c r="E52" s="10" t="s">
        <v>490</v>
      </c>
    </row>
    <row r="54" spans="2:4" ht="12.75">
      <c r="B54" s="343" t="s">
        <v>529</v>
      </c>
      <c r="C54" s="343"/>
      <c r="D54" s="89">
        <f>D27</f>
        <v>750</v>
      </c>
    </row>
    <row r="55" spans="2:4" ht="12.75">
      <c r="B55" s="343" t="s">
        <v>56</v>
      </c>
      <c r="C55" s="343"/>
      <c r="D55" s="89">
        <f>Maqui!G44</f>
        <v>7.4</v>
      </c>
    </row>
    <row r="56" spans="2:5" ht="12.75">
      <c r="B56" s="343" t="s">
        <v>264</v>
      </c>
      <c r="C56" s="343"/>
      <c r="D56" s="230">
        <v>1.8</v>
      </c>
      <c r="E56" s="60" t="s">
        <v>528</v>
      </c>
    </row>
    <row r="57" spans="2:4" ht="12.75">
      <c r="B57" s="343" t="s">
        <v>268</v>
      </c>
      <c r="C57" s="343"/>
      <c r="D57" s="103">
        <f>D56*D52</f>
        <v>216</v>
      </c>
    </row>
    <row r="58" spans="2:4" ht="12.75">
      <c r="B58" s="343" t="s">
        <v>57</v>
      </c>
      <c r="C58" s="343"/>
      <c r="D58" s="230">
        <v>4000</v>
      </c>
    </row>
    <row r="59" spans="2:4" ht="12.75">
      <c r="B59" s="343" t="s">
        <v>266</v>
      </c>
      <c r="C59" s="343"/>
      <c r="D59" s="208">
        <v>1000</v>
      </c>
    </row>
    <row r="60" spans="2:4" ht="12.75">
      <c r="B60" s="456" t="s">
        <v>265</v>
      </c>
      <c r="C60" s="456"/>
      <c r="D60" s="89">
        <f>D59*D55</f>
        <v>7400</v>
      </c>
    </row>
    <row r="61" spans="2:6" ht="12.75" customHeight="1">
      <c r="B61" s="456" t="s">
        <v>267</v>
      </c>
      <c r="C61" s="456"/>
      <c r="D61" s="89">
        <f>IF(D54&gt;800,4*Datos!D77*0.5,4*Datos!D77)</f>
        <v>64</v>
      </c>
      <c r="E61" s="438" t="s">
        <v>530</v>
      </c>
      <c r="F61" s="439"/>
    </row>
    <row r="62" spans="2:6" ht="12.75">
      <c r="B62" s="441" t="s">
        <v>315</v>
      </c>
      <c r="C62" s="442"/>
      <c r="D62" s="104">
        <f>Datos!D86</f>
        <v>2662.5</v>
      </c>
      <c r="E62" s="438"/>
      <c r="F62" s="439"/>
    </row>
    <row r="63" spans="2:6" ht="12.75">
      <c r="B63" s="456" t="s">
        <v>270</v>
      </c>
      <c r="C63" s="456"/>
      <c r="D63" s="89">
        <f>ROUNDUP(D62/D61,0)</f>
        <v>42</v>
      </c>
      <c r="E63" s="438"/>
      <c r="F63" s="439"/>
    </row>
    <row r="64" spans="2:4" ht="12.75">
      <c r="B64" s="456" t="s">
        <v>271</v>
      </c>
      <c r="C64" s="456"/>
      <c r="D64" s="89">
        <f>ROUND(D62/D60,2)</f>
        <v>0.36</v>
      </c>
    </row>
    <row r="65" spans="2:4" ht="12.75">
      <c r="B65" s="441" t="s">
        <v>89</v>
      </c>
      <c r="C65" s="442"/>
      <c r="D65" s="89">
        <f>ROUND(D62/D55,2)</f>
        <v>359.8</v>
      </c>
    </row>
    <row r="67" ht="13.5" thickBot="1"/>
    <row r="68" spans="3:5" ht="13.5" thickBot="1">
      <c r="C68" s="453" t="s">
        <v>272</v>
      </c>
      <c r="D68" s="454"/>
      <c r="E68" s="135">
        <f>E70/D62</f>
        <v>3.948169014084507</v>
      </c>
    </row>
    <row r="69" ht="13.5" thickBot="1"/>
    <row r="70" spans="2:5" ht="21" customHeight="1" thickBot="1">
      <c r="B70" s="396" t="s">
        <v>319</v>
      </c>
      <c r="C70" s="397"/>
      <c r="D70" s="398"/>
      <c r="E70" s="135">
        <f>D63*D57+D58*D64</f>
        <v>10512</v>
      </c>
    </row>
    <row r="71" spans="3:5" ht="12.75" customHeight="1">
      <c r="C71" s="63"/>
      <c r="D71" s="63"/>
      <c r="E71" s="167"/>
    </row>
    <row r="72" spans="3:5" ht="12.75" customHeight="1">
      <c r="C72" s="63"/>
      <c r="D72" s="63"/>
      <c r="E72" s="62"/>
    </row>
    <row r="73" spans="3:4" ht="12.75" customHeight="1" thickBot="1">
      <c r="C73" s="69"/>
      <c r="D73" s="63"/>
    </row>
    <row r="74" spans="1:3" ht="20.25" customHeight="1" thickBot="1">
      <c r="A74" s="372" t="s">
        <v>312</v>
      </c>
      <c r="B74" s="414"/>
      <c r="C74" s="373"/>
    </row>
    <row r="78" spans="2:4" ht="12.75">
      <c r="B78" s="343" t="s">
        <v>322</v>
      </c>
      <c r="C78" s="343"/>
      <c r="D78" s="208">
        <v>0.8</v>
      </c>
    </row>
    <row r="79" spans="2:5" ht="12.75">
      <c r="B79" s="343" t="s">
        <v>323</v>
      </c>
      <c r="C79" s="343"/>
      <c r="D79" s="208">
        <v>0.15</v>
      </c>
      <c r="E79" s="10" t="s">
        <v>324</v>
      </c>
    </row>
    <row r="80" spans="2:4" ht="12.75">
      <c r="B80" s="343" t="s">
        <v>325</v>
      </c>
      <c r="C80" s="343"/>
      <c r="D80" s="89">
        <f>D79*5*D78*60/2</f>
        <v>18.000000000000004</v>
      </c>
    </row>
    <row r="81" spans="2:4" ht="12.75">
      <c r="B81" s="441" t="s">
        <v>314</v>
      </c>
      <c r="C81" s="442"/>
      <c r="D81" s="89">
        <f>Datos!D100</f>
        <v>8000</v>
      </c>
    </row>
    <row r="82" spans="2:4" ht="12.75">
      <c r="B82" s="345" t="s">
        <v>333</v>
      </c>
      <c r="C82" s="345"/>
      <c r="D82" s="89">
        <f>ROUNDUP(D81/D80,0)</f>
        <v>445</v>
      </c>
    </row>
    <row r="83" spans="2:4" ht="12.75">
      <c r="B83" s="332" t="s">
        <v>326</v>
      </c>
      <c r="C83" s="333"/>
      <c r="D83" s="208">
        <v>1000</v>
      </c>
    </row>
    <row r="84" spans="2:4" ht="12.75">
      <c r="B84" s="343" t="s">
        <v>327</v>
      </c>
      <c r="C84" s="343"/>
      <c r="D84" s="89">
        <f>D83*D79/2</f>
        <v>75</v>
      </c>
    </row>
    <row r="85" spans="2:4" ht="12.75">
      <c r="B85" s="343" t="s">
        <v>328</v>
      </c>
      <c r="C85" s="343"/>
      <c r="D85" s="89">
        <f>D81/D84</f>
        <v>106.66666666666667</v>
      </c>
    </row>
    <row r="86" spans="2:5" ht="12.75">
      <c r="B86" s="343" t="s">
        <v>329</v>
      </c>
      <c r="C86" s="343"/>
      <c r="D86" s="231">
        <v>60</v>
      </c>
      <c r="E86" s="10" t="s">
        <v>224</v>
      </c>
    </row>
    <row r="87" spans="2:4" ht="12.75">
      <c r="B87" s="343" t="s">
        <v>330</v>
      </c>
      <c r="C87" s="343"/>
      <c r="D87" s="98">
        <f>D85*D86</f>
        <v>6400</v>
      </c>
    </row>
    <row r="89" spans="2:4" ht="12.75">
      <c r="B89" s="25"/>
      <c r="C89" s="25"/>
      <c r="D89" s="23"/>
    </row>
    <row r="90" spans="2:4" ht="12.75">
      <c r="B90" s="25"/>
      <c r="C90" s="25"/>
      <c r="D90" s="23"/>
    </row>
    <row r="91" ht="13.5" thickBot="1"/>
    <row r="92" spans="3:5" ht="13.5" thickBot="1">
      <c r="C92" s="453" t="s">
        <v>313</v>
      </c>
      <c r="D92" s="454"/>
      <c r="E92" s="135">
        <f>D87/D81</f>
        <v>0.8</v>
      </c>
    </row>
    <row r="93" ht="13.5" thickBot="1"/>
    <row r="94" spans="2:5" ht="21" customHeight="1" thickBot="1">
      <c r="B94" s="396" t="s">
        <v>320</v>
      </c>
      <c r="C94" s="397"/>
      <c r="D94" s="398"/>
      <c r="E94" s="135">
        <f>D87</f>
        <v>6400</v>
      </c>
    </row>
    <row r="95" spans="4:6" ht="12.75" customHeight="1">
      <c r="D95" s="63"/>
      <c r="E95" s="63"/>
      <c r="F95" s="62"/>
    </row>
    <row r="96" spans="1:6" ht="12.75" customHeight="1" thickBot="1">
      <c r="A96" s="256" t="s">
        <v>572</v>
      </c>
      <c r="D96" s="63"/>
      <c r="F96" s="62"/>
    </row>
    <row r="97" spans="1:6" ht="21" customHeight="1" thickBot="1">
      <c r="A97" s="372" t="s">
        <v>332</v>
      </c>
      <c r="B97" s="414"/>
      <c r="C97" s="373"/>
      <c r="D97" s="435" t="s">
        <v>583</v>
      </c>
      <c r="E97" s="435"/>
      <c r="F97" s="435"/>
    </row>
    <row r="98" spans="4:6" ht="21" customHeight="1">
      <c r="D98" s="435"/>
      <c r="E98" s="435"/>
      <c r="F98" s="435"/>
    </row>
    <row r="99" spans="3:6" ht="12.75" customHeight="1">
      <c r="C99" s="97"/>
      <c r="F99" s="62"/>
    </row>
    <row r="100" spans="2:6" ht="12.75" customHeight="1">
      <c r="B100" s="344" t="s">
        <v>337</v>
      </c>
      <c r="C100" s="344"/>
      <c r="D100" s="89">
        <f>Datos!D131</f>
        <v>50</v>
      </c>
      <c r="F100" s="62"/>
    </row>
    <row r="101" spans="2:6" ht="12.75" customHeight="1">
      <c r="B101" s="345" t="s">
        <v>333</v>
      </c>
      <c r="C101" s="345"/>
      <c r="D101" s="89">
        <f>Datos!D132</f>
        <v>141</v>
      </c>
      <c r="F101" s="62"/>
    </row>
    <row r="102" spans="2:6" ht="12.75" customHeight="1">
      <c r="B102" s="343" t="s">
        <v>338</v>
      </c>
      <c r="C102" s="343"/>
      <c r="D102" s="208">
        <v>4000</v>
      </c>
      <c r="F102" s="62"/>
    </row>
    <row r="103" spans="2:6" ht="12.75" customHeight="1">
      <c r="B103" s="343" t="s">
        <v>339</v>
      </c>
      <c r="C103" s="343"/>
      <c r="D103" s="89">
        <f>ROUND((Datos!D71+Datos!D85)/Sumi!D102,1)</f>
        <v>0.7</v>
      </c>
      <c r="F103" s="62"/>
    </row>
    <row r="104" spans="2:6" ht="12.75" customHeight="1">
      <c r="B104" s="343" t="s">
        <v>340</v>
      </c>
      <c r="C104" s="343"/>
      <c r="D104" s="231">
        <v>400</v>
      </c>
      <c r="F104" s="62"/>
    </row>
    <row r="105" spans="2:6" ht="12.75" customHeight="1">
      <c r="B105" s="343" t="s">
        <v>341</v>
      </c>
      <c r="C105" s="343"/>
      <c r="D105" s="98">
        <f>D103*D104</f>
        <v>280</v>
      </c>
      <c r="F105" s="62"/>
    </row>
    <row r="106" ht="12.75" customHeight="1">
      <c r="F106" s="62"/>
    </row>
    <row r="107" ht="12.75" customHeight="1" thickBot="1">
      <c r="F107" s="62"/>
    </row>
    <row r="108" spans="2:6" ht="12.75" customHeight="1" thickBot="1">
      <c r="B108" s="396" t="s">
        <v>342</v>
      </c>
      <c r="C108" s="397"/>
      <c r="D108" s="398"/>
      <c r="E108" s="135">
        <f>D105</f>
        <v>280</v>
      </c>
      <c r="F108" s="62"/>
    </row>
    <row r="109" spans="4:6" ht="12.75" customHeight="1">
      <c r="D109" s="63"/>
      <c r="E109" s="63"/>
      <c r="F109" s="62"/>
    </row>
    <row r="110" spans="4:6" ht="12.75" customHeight="1" thickBot="1">
      <c r="D110" s="63"/>
      <c r="E110" s="63"/>
      <c r="F110" s="62"/>
    </row>
    <row r="111" spans="1:6" ht="20.25" customHeight="1" thickBot="1">
      <c r="A111" s="372" t="s">
        <v>448</v>
      </c>
      <c r="B111" s="414"/>
      <c r="C111" s="373"/>
      <c r="D111" s="63"/>
      <c r="E111" s="63"/>
      <c r="F111" s="62"/>
    </row>
    <row r="112" spans="4:6" ht="12.75" customHeight="1">
      <c r="D112" s="63"/>
      <c r="E112" s="63"/>
      <c r="F112" s="62"/>
    </row>
    <row r="113" spans="4:6" ht="12.75" customHeight="1">
      <c r="D113" s="63"/>
      <c r="E113" s="63"/>
      <c r="F113" s="62"/>
    </row>
    <row r="114" spans="2:6" ht="12.75" customHeight="1">
      <c r="B114" s="343" t="s">
        <v>451</v>
      </c>
      <c r="C114" s="343"/>
      <c r="D114" s="89">
        <f>ROUNDUP(Datos!D70/100,0)</f>
        <v>4</v>
      </c>
      <c r="F114" s="62"/>
    </row>
    <row r="115" spans="2:6" ht="12.75" customHeight="1">
      <c r="B115" s="343" t="s">
        <v>452</v>
      </c>
      <c r="C115" s="343"/>
      <c r="D115" s="231">
        <v>300</v>
      </c>
      <c r="F115" s="62"/>
    </row>
    <row r="116" spans="2:6" ht="12.75" customHeight="1">
      <c r="B116" s="431" t="s">
        <v>449</v>
      </c>
      <c r="C116" s="432"/>
      <c r="D116" s="89">
        <f>E117*Datos!D66</f>
        <v>648</v>
      </c>
      <c r="E116" s="132" t="s">
        <v>491</v>
      </c>
      <c r="F116" s="62"/>
    </row>
    <row r="117" spans="2:6" ht="12.75" customHeight="1">
      <c r="B117" s="343" t="s">
        <v>453</v>
      </c>
      <c r="C117" s="343"/>
      <c r="D117" s="98">
        <f>D116+D115*D114</f>
        <v>1848</v>
      </c>
      <c r="E117" s="97">
        <f>Datos!D68*1.5+Datos!D69*0.5</f>
        <v>0.24</v>
      </c>
      <c r="F117" s="62"/>
    </row>
    <row r="118" spans="4:6" ht="12.75" customHeight="1">
      <c r="D118" s="63"/>
      <c r="E118" s="132" t="s">
        <v>450</v>
      </c>
      <c r="F118" s="62"/>
    </row>
    <row r="119" spans="4:6" ht="12.75" customHeight="1" thickBot="1">
      <c r="D119" s="63"/>
      <c r="E119" s="63"/>
      <c r="F119" s="62"/>
    </row>
    <row r="120" spans="2:6" ht="12.75" customHeight="1" thickBot="1">
      <c r="B120" s="396" t="s">
        <v>447</v>
      </c>
      <c r="C120" s="397"/>
      <c r="D120" s="398"/>
      <c r="E120" s="135">
        <f>D117</f>
        <v>1848</v>
      </c>
      <c r="F120" s="62"/>
    </row>
    <row r="121" spans="4:6" ht="12.75" customHeight="1">
      <c r="D121" s="63"/>
      <c r="E121" s="63"/>
      <c r="F121" s="62"/>
    </row>
    <row r="122" spans="4:6" ht="12.75" customHeight="1" thickBot="1">
      <c r="D122" s="63"/>
      <c r="E122" s="63"/>
      <c r="F122" s="62"/>
    </row>
    <row r="123" spans="1:6" ht="20.25" customHeight="1" thickBot="1">
      <c r="A123" s="372" t="s">
        <v>362</v>
      </c>
      <c r="B123" s="414"/>
      <c r="C123" s="373"/>
      <c r="D123" s="63"/>
      <c r="E123" s="63"/>
      <c r="F123" s="62"/>
    </row>
    <row r="124" spans="4:6" ht="12.75" customHeight="1">
      <c r="D124" s="63"/>
      <c r="E124" s="63"/>
      <c r="F124" s="62"/>
    </row>
    <row r="125" spans="4:6" ht="12.75" customHeight="1">
      <c r="D125" s="63"/>
      <c r="F125" s="62"/>
    </row>
    <row r="126" spans="2:6" ht="12.75" customHeight="1">
      <c r="B126" s="343" t="s">
        <v>349</v>
      </c>
      <c r="C126" s="343"/>
      <c r="D126" s="229">
        <v>15000</v>
      </c>
      <c r="F126" s="62"/>
    </row>
    <row r="127" spans="2:6" ht="12.75" customHeight="1">
      <c r="B127" s="343" t="s">
        <v>353</v>
      </c>
      <c r="C127" s="343"/>
      <c r="D127" s="229">
        <v>20000</v>
      </c>
      <c r="F127" s="62"/>
    </row>
    <row r="128" spans="2:6" ht="12.75" customHeight="1">
      <c r="B128" s="431" t="s">
        <v>360</v>
      </c>
      <c r="C128" s="432"/>
      <c r="D128" s="229">
        <v>6000</v>
      </c>
      <c r="F128" s="62"/>
    </row>
    <row r="129" spans="2:6" ht="12.75" customHeight="1">
      <c r="B129" s="431" t="s">
        <v>359</v>
      </c>
      <c r="C129" s="432"/>
      <c r="D129" s="229">
        <v>12000</v>
      </c>
      <c r="F129" s="62"/>
    </row>
    <row r="130" spans="2:6" ht="12.75" customHeight="1">
      <c r="B130" s="431" t="s">
        <v>351</v>
      </c>
      <c r="C130" s="432"/>
      <c r="D130" s="89">
        <f>Datos!D122</f>
        <v>3960</v>
      </c>
      <c r="F130" s="62"/>
    </row>
    <row r="131" spans="2:6" ht="12.75" customHeight="1">
      <c r="B131" s="431" t="s">
        <v>363</v>
      </c>
      <c r="C131" s="432"/>
      <c r="D131" s="98">
        <f>4*D128*D130/D126+2*D129*D130/D127</f>
        <v>11088</v>
      </c>
      <c r="F131" s="62"/>
    </row>
    <row r="132" spans="2:6" ht="12.75" customHeight="1">
      <c r="B132" s="431" t="s">
        <v>350</v>
      </c>
      <c r="C132" s="432"/>
      <c r="D132" s="229">
        <v>12500</v>
      </c>
      <c r="F132" s="62"/>
    </row>
    <row r="133" spans="2:6" ht="12.75" customHeight="1">
      <c r="B133" s="431" t="s">
        <v>361</v>
      </c>
      <c r="C133" s="432"/>
      <c r="D133" s="229">
        <v>4500</v>
      </c>
      <c r="F133" s="62"/>
    </row>
    <row r="134" spans="2:6" ht="12.75" customHeight="1">
      <c r="B134" s="431" t="s">
        <v>352</v>
      </c>
      <c r="C134" s="432"/>
      <c r="D134" s="89">
        <f>Datos!D111</f>
        <v>231.12</v>
      </c>
      <c r="F134" s="62"/>
    </row>
    <row r="135" spans="2:6" ht="12.75" customHeight="1">
      <c r="B135" s="431" t="s">
        <v>364</v>
      </c>
      <c r="C135" s="432"/>
      <c r="D135" s="98">
        <f>6*D133*D134/D132</f>
        <v>499.2192</v>
      </c>
      <c r="F135" s="62"/>
    </row>
    <row r="136" ht="12.75" customHeight="1">
      <c r="F136" s="62"/>
    </row>
    <row r="137" ht="12.75" customHeight="1">
      <c r="F137" s="62"/>
    </row>
    <row r="138" ht="12.75" customHeight="1">
      <c r="F138" s="62"/>
    </row>
    <row r="139" ht="12.75" customHeight="1" thickBot="1">
      <c r="F139" s="62"/>
    </row>
    <row r="140" spans="2:6" ht="12.75" customHeight="1" thickBot="1">
      <c r="B140" s="396" t="s">
        <v>358</v>
      </c>
      <c r="C140" s="397"/>
      <c r="D140" s="398"/>
      <c r="E140" s="135">
        <f>D131+D135</f>
        <v>11587.2192</v>
      </c>
      <c r="F140" s="62"/>
    </row>
    <row r="141" spans="4:6" ht="12.75" customHeight="1">
      <c r="D141" s="63"/>
      <c r="E141" s="63"/>
      <c r="F141" s="62"/>
    </row>
    <row r="142" spans="1:6" ht="12.75" customHeight="1">
      <c r="A142" s="256" t="s">
        <v>572</v>
      </c>
      <c r="D142" s="63"/>
      <c r="E142" s="63"/>
      <c r="F142" s="62"/>
    </row>
    <row r="143" spans="4:6" ht="12.75" customHeight="1">
      <c r="D143" s="63"/>
      <c r="E143" s="63"/>
      <c r="F143" s="62"/>
    </row>
    <row r="144" spans="4:6" ht="21" customHeight="1" thickBot="1">
      <c r="D144" s="435" t="s">
        <v>583</v>
      </c>
      <c r="E144" s="435"/>
      <c r="F144" s="435"/>
    </row>
    <row r="145" spans="1:6" ht="21" customHeight="1" thickBot="1">
      <c r="A145" s="372" t="s">
        <v>273</v>
      </c>
      <c r="B145" s="414"/>
      <c r="C145" s="373"/>
      <c r="D145" s="435"/>
      <c r="E145" s="435"/>
      <c r="F145" s="435"/>
    </row>
    <row r="147" ht="13.5" thickBot="1"/>
    <row r="148" spans="2:3" ht="16.5" thickBot="1">
      <c r="B148" s="450" t="s">
        <v>47</v>
      </c>
      <c r="C148" s="451"/>
    </row>
    <row r="150" ht="15" customHeight="1">
      <c r="E150" s="24"/>
    </row>
    <row r="151" spans="4:5" ht="12.75">
      <c r="D151" s="11" t="s">
        <v>51</v>
      </c>
      <c r="E151" s="62"/>
    </row>
    <row r="152" spans="2:5" ht="15">
      <c r="B152" s="443" t="s">
        <v>53</v>
      </c>
      <c r="C152" s="443"/>
      <c r="D152" s="231">
        <v>0.4</v>
      </c>
      <c r="E152" s="10" t="s">
        <v>492</v>
      </c>
    </row>
    <row r="155" spans="2:3" ht="12.75">
      <c r="B155" s="444" t="s">
        <v>48</v>
      </c>
      <c r="C155" s="444"/>
    </row>
    <row r="156" spans="2:5" ht="12.75">
      <c r="B156" s="445" t="s">
        <v>304</v>
      </c>
      <c r="C156" s="445"/>
      <c r="D156" s="445"/>
      <c r="E156" s="89">
        <f>E157*Maqui!C58</f>
        <v>26.200000000000003</v>
      </c>
    </row>
    <row r="157" spans="2:5" ht="12.75">
      <c r="B157" s="343" t="s">
        <v>299</v>
      </c>
      <c r="C157" s="343"/>
      <c r="D157" s="343"/>
      <c r="E157" s="229">
        <v>0.1</v>
      </c>
    </row>
    <row r="158" spans="2:5" ht="12.75">
      <c r="B158" s="343" t="s">
        <v>295</v>
      </c>
      <c r="C158" s="343"/>
      <c r="D158" s="343"/>
      <c r="E158" s="89">
        <f>Datos!D111</f>
        <v>231.12</v>
      </c>
    </row>
    <row r="159" spans="2:5" ht="12.75">
      <c r="B159" s="343" t="s">
        <v>300</v>
      </c>
      <c r="C159" s="343"/>
      <c r="D159" s="343"/>
      <c r="E159" s="89">
        <f>E158*E156</f>
        <v>6055.344000000001</v>
      </c>
    </row>
    <row r="160" spans="2:5" ht="12.75">
      <c r="B160" s="343" t="s">
        <v>301</v>
      </c>
      <c r="C160" s="343"/>
      <c r="D160" s="343"/>
      <c r="E160" s="101">
        <f>E159*D152</f>
        <v>2422.1376000000005</v>
      </c>
    </row>
    <row r="162" spans="2:3" ht="12.75">
      <c r="B162" s="444" t="s">
        <v>306</v>
      </c>
      <c r="C162" s="444"/>
    </row>
    <row r="163" spans="2:5" ht="12.75">
      <c r="B163" s="445" t="s">
        <v>304</v>
      </c>
      <c r="C163" s="445"/>
      <c r="D163" s="445"/>
      <c r="E163" s="89">
        <f>E164*(Maqui!C64+Maqui!C65)/2</f>
        <v>34.4</v>
      </c>
    </row>
    <row r="164" spans="2:5" ht="12.75">
      <c r="B164" s="343" t="s">
        <v>283</v>
      </c>
      <c r="C164" s="343"/>
      <c r="D164" s="343"/>
      <c r="E164" s="229">
        <v>0.1</v>
      </c>
    </row>
    <row r="165" spans="2:5" ht="12.75">
      <c r="B165" s="343" t="s">
        <v>295</v>
      </c>
      <c r="C165" s="343"/>
      <c r="D165" s="343"/>
      <c r="E165" s="89">
        <f>Datos!D122</f>
        <v>3960</v>
      </c>
    </row>
    <row r="166" spans="2:5" ht="12.75">
      <c r="B166" s="343" t="s">
        <v>300</v>
      </c>
      <c r="C166" s="343"/>
      <c r="D166" s="343"/>
      <c r="E166" s="89">
        <f>E163*E165</f>
        <v>136224</v>
      </c>
    </row>
    <row r="167" spans="2:5" ht="12.75">
      <c r="B167" s="343" t="s">
        <v>303</v>
      </c>
      <c r="C167" s="343"/>
      <c r="D167" s="343"/>
      <c r="E167" s="101">
        <f>E166*D152</f>
        <v>54489.600000000006</v>
      </c>
    </row>
    <row r="168" spans="2:4" ht="12.75">
      <c r="B168" s="24"/>
      <c r="C168" s="24"/>
      <c r="D168" s="24"/>
    </row>
    <row r="170" spans="2:3" ht="12.75">
      <c r="B170" s="444" t="s">
        <v>50</v>
      </c>
      <c r="C170" s="444"/>
    </row>
    <row r="171" spans="2:5" ht="12.75">
      <c r="B171" s="343" t="s">
        <v>80</v>
      </c>
      <c r="C171" s="343"/>
      <c r="D171" s="343"/>
      <c r="E171" s="229">
        <v>0.1</v>
      </c>
    </row>
    <row r="172" spans="2:5" ht="12.75">
      <c r="B172" s="343" t="s">
        <v>295</v>
      </c>
      <c r="C172" s="343"/>
      <c r="D172" s="343"/>
      <c r="E172" s="89">
        <f>Datos!D132</f>
        <v>141</v>
      </c>
    </row>
    <row r="173" spans="2:5" ht="12.75">
      <c r="B173" s="343" t="s">
        <v>300</v>
      </c>
      <c r="C173" s="343"/>
      <c r="D173" s="343"/>
      <c r="E173" s="89">
        <f>Maqui!B23*Sumi!E171*Sumi!E172</f>
        <v>493.5</v>
      </c>
    </row>
    <row r="174" spans="2:5" ht="12.75">
      <c r="B174" s="343" t="s">
        <v>302</v>
      </c>
      <c r="C174" s="343"/>
      <c r="D174" s="343"/>
      <c r="E174" s="101">
        <f>E173*D152</f>
        <v>197.4</v>
      </c>
    </row>
    <row r="176" spans="2:3" ht="12.75">
      <c r="B176" s="444" t="s">
        <v>424</v>
      </c>
      <c r="C176" s="444"/>
    </row>
    <row r="177" spans="2:6" ht="12.75">
      <c r="B177" s="343" t="s">
        <v>283</v>
      </c>
      <c r="C177" s="343"/>
      <c r="D177" s="343"/>
      <c r="E177" s="229">
        <v>0.1</v>
      </c>
      <c r="F177" s="12" t="s">
        <v>425</v>
      </c>
    </row>
    <row r="178" spans="2:6" ht="12.75">
      <c r="B178" s="343" t="s">
        <v>295</v>
      </c>
      <c r="C178" s="343"/>
      <c r="D178" s="343"/>
      <c r="E178" s="232">
        <f>F178*F180</f>
        <v>0</v>
      </c>
      <c r="F178" s="208">
        <v>0</v>
      </c>
    </row>
    <row r="179" spans="2:6" ht="12.75">
      <c r="B179" s="343" t="s">
        <v>300</v>
      </c>
      <c r="C179" s="343"/>
      <c r="D179" s="343"/>
      <c r="E179" s="89">
        <f>E177*E178*Insta!B42</f>
        <v>0</v>
      </c>
      <c r="F179" s="12" t="s">
        <v>426</v>
      </c>
    </row>
    <row r="180" spans="2:6" ht="12.75">
      <c r="B180" s="343" t="s">
        <v>302</v>
      </c>
      <c r="C180" s="343"/>
      <c r="D180" s="343"/>
      <c r="E180" s="101">
        <f>E179*D152</f>
        <v>0</v>
      </c>
      <c r="F180" s="229">
        <v>12</v>
      </c>
    </row>
    <row r="181" spans="2:5" ht="13.5" thickBot="1">
      <c r="B181" s="24"/>
      <c r="C181" s="24"/>
      <c r="D181" s="24"/>
      <c r="E181" s="122"/>
    </row>
    <row r="182" spans="2:4" ht="17.25" customHeight="1" thickBot="1">
      <c r="B182" s="448" t="s">
        <v>431</v>
      </c>
      <c r="C182" s="449"/>
      <c r="D182" s="129">
        <f>ROUND(E159+E166+E173+E179,0)</f>
        <v>142773</v>
      </c>
    </row>
    <row r="183" spans="2:5" ht="16.5" customHeight="1" thickBot="1">
      <c r="B183" s="448" t="s">
        <v>432</v>
      </c>
      <c r="C183" s="449"/>
      <c r="D183" s="124">
        <f>ROUND(D182/(4.1*Datos!C11),0)</f>
        <v>2902</v>
      </c>
      <c r="E183" s="123"/>
    </row>
    <row r="184" spans="1:4" ht="15.75" thickBot="1">
      <c r="A184" s="256" t="s">
        <v>572</v>
      </c>
      <c r="B184" s="54"/>
      <c r="C184" s="54"/>
      <c r="D184" s="54"/>
    </row>
    <row r="185" spans="2:6" ht="21" customHeight="1" thickBot="1">
      <c r="B185" s="450" t="s">
        <v>274</v>
      </c>
      <c r="C185" s="451"/>
      <c r="D185" s="435" t="s">
        <v>583</v>
      </c>
      <c r="E185" s="435"/>
      <c r="F185" s="435"/>
    </row>
    <row r="186" spans="2:6" ht="21" customHeight="1">
      <c r="B186" s="64"/>
      <c r="C186" s="64"/>
      <c r="D186" s="435"/>
      <c r="E186" s="435"/>
      <c r="F186" s="435"/>
    </row>
    <row r="187" spans="2:4" ht="15.75">
      <c r="B187" s="64"/>
      <c r="C187" s="64"/>
      <c r="D187" s="54"/>
    </row>
    <row r="188" spans="2:4" ht="15">
      <c r="B188" s="54"/>
      <c r="C188" s="54"/>
      <c r="D188" s="54"/>
    </row>
    <row r="189" spans="2:5" ht="15">
      <c r="B189" s="54"/>
      <c r="C189" s="54"/>
      <c r="D189" s="53" t="s">
        <v>276</v>
      </c>
      <c r="E189" s="231">
        <v>1.6</v>
      </c>
    </row>
    <row r="190" spans="2:4" ht="15">
      <c r="B190" s="54"/>
      <c r="C190" s="54"/>
      <c r="D190" s="176" t="s">
        <v>493</v>
      </c>
    </row>
    <row r="192" spans="2:3" ht="12.75">
      <c r="B192" s="444" t="s">
        <v>83</v>
      </c>
      <c r="C192" s="444"/>
    </row>
    <row r="193" spans="2:4" ht="12.75">
      <c r="B193" s="332" t="s">
        <v>89</v>
      </c>
      <c r="C193" s="333"/>
      <c r="D193" s="89">
        <f>D65</f>
        <v>359.8</v>
      </c>
    </row>
    <row r="194" spans="2:5" ht="12.75">
      <c r="B194" s="452" t="s">
        <v>261</v>
      </c>
      <c r="C194" s="452"/>
      <c r="D194" s="208">
        <v>0.5</v>
      </c>
      <c r="E194" s="10" t="s">
        <v>280</v>
      </c>
    </row>
    <row r="195" spans="2:4" ht="12.75">
      <c r="B195" s="343" t="s">
        <v>281</v>
      </c>
      <c r="C195" s="343"/>
      <c r="D195" s="89">
        <f>ROUND(D193*D194,2)</f>
        <v>179.9</v>
      </c>
    </row>
    <row r="196" spans="2:4" ht="12.75">
      <c r="B196" s="343" t="s">
        <v>204</v>
      </c>
      <c r="C196" s="343"/>
      <c r="D196" s="98">
        <f>E189*D195</f>
        <v>287.84000000000003</v>
      </c>
    </row>
    <row r="197" spans="2:4" ht="12.75">
      <c r="B197" s="24"/>
      <c r="C197" s="24"/>
      <c r="D197" s="61"/>
    </row>
    <row r="198" spans="2:4" ht="12.75">
      <c r="B198" s="24"/>
      <c r="C198" s="24"/>
      <c r="D198" s="61"/>
    </row>
    <row r="199" spans="2:5" ht="12.75">
      <c r="B199" s="447" t="s">
        <v>49</v>
      </c>
      <c r="C199" s="447"/>
      <c r="E199" s="10" t="s">
        <v>494</v>
      </c>
    </row>
    <row r="200" spans="2:5" ht="12.75">
      <c r="B200" s="343" t="s">
        <v>310</v>
      </c>
      <c r="C200" s="343"/>
      <c r="D200" s="208">
        <v>15</v>
      </c>
      <c r="E200" s="10" t="s">
        <v>495</v>
      </c>
    </row>
    <row r="201" spans="2:5" ht="12.75">
      <c r="B201" s="343" t="s">
        <v>309</v>
      </c>
      <c r="C201" s="343"/>
      <c r="D201" s="101">
        <f>D200*E167/100</f>
        <v>8173.440000000001</v>
      </c>
      <c r="E201" s="10" t="s">
        <v>496</v>
      </c>
    </row>
    <row r="202" spans="2:4" ht="12.75">
      <c r="B202" s="24"/>
      <c r="C202" s="24"/>
      <c r="D202" s="61"/>
    </row>
    <row r="203" spans="2:4" ht="12.75">
      <c r="B203" s="24"/>
      <c r="C203" s="24"/>
      <c r="D203" s="61"/>
    </row>
    <row r="204" spans="2:3" ht="12.75">
      <c r="B204" s="444" t="s">
        <v>50</v>
      </c>
      <c r="C204" s="444"/>
    </row>
    <row r="205" spans="2:4" ht="12.75">
      <c r="B205" s="343" t="s">
        <v>310</v>
      </c>
      <c r="C205" s="343"/>
      <c r="D205" s="208">
        <v>15</v>
      </c>
    </row>
    <row r="206" spans="2:4" ht="12.75">
      <c r="B206" s="343" t="s">
        <v>309</v>
      </c>
      <c r="C206" s="343"/>
      <c r="D206" s="101">
        <f>D205*E174/100</f>
        <v>29.61</v>
      </c>
    </row>
    <row r="207" spans="2:3" ht="12.75">
      <c r="B207" s="68"/>
      <c r="C207" s="68"/>
    </row>
    <row r="208" spans="2:4" ht="12.75">
      <c r="B208" s="24"/>
      <c r="C208" s="24"/>
      <c r="D208" s="61"/>
    </row>
    <row r="209" spans="2:3" ht="12.75">
      <c r="B209" s="444" t="s">
        <v>48</v>
      </c>
      <c r="C209" s="444"/>
    </row>
    <row r="210" spans="2:4" ht="12.75">
      <c r="B210" s="343" t="s">
        <v>310</v>
      </c>
      <c r="C210" s="343"/>
      <c r="D210" s="208">
        <v>15</v>
      </c>
    </row>
    <row r="211" spans="2:4" ht="12.75">
      <c r="B211" s="343" t="s">
        <v>309</v>
      </c>
      <c r="C211" s="343"/>
      <c r="D211" s="101">
        <f>D210*E160/100</f>
        <v>363.3206400000001</v>
      </c>
    </row>
    <row r="212" spans="2:4" ht="12.75">
      <c r="B212" s="24"/>
      <c r="C212" s="24"/>
      <c r="D212" s="61"/>
    </row>
    <row r="213" spans="2:4" ht="13.5" thickBot="1">
      <c r="B213" s="24"/>
      <c r="C213" s="24"/>
      <c r="D213" s="61"/>
    </row>
    <row r="214" spans="2:5" ht="20.25" customHeight="1" thickBot="1">
      <c r="B214" s="396" t="s">
        <v>275</v>
      </c>
      <c r="C214" s="397"/>
      <c r="D214" s="398"/>
      <c r="E214" s="135">
        <f>E160+E167+E174+D196+D201+D206+D211</f>
        <v>65963.34824</v>
      </c>
    </row>
    <row r="217" ht="13.5" thickBot="1"/>
    <row r="218" spans="2:3" ht="16.5" thickBot="1">
      <c r="B218" s="450" t="s">
        <v>82</v>
      </c>
      <c r="C218" s="451"/>
    </row>
    <row r="221" spans="3:5" ht="12.75">
      <c r="C221" s="345" t="s">
        <v>259</v>
      </c>
      <c r="D221" s="345"/>
      <c r="E221" s="231">
        <v>0.07</v>
      </c>
    </row>
    <row r="224" spans="2:3" ht="12.75">
      <c r="B224" s="447" t="s">
        <v>83</v>
      </c>
      <c r="C224" s="447"/>
    </row>
    <row r="225" spans="2:4" ht="12.75">
      <c r="B225" s="445" t="s">
        <v>255</v>
      </c>
      <c r="C225" s="446"/>
      <c r="D225" s="233">
        <v>50</v>
      </c>
    </row>
    <row r="226" spans="2:4" ht="12.75">
      <c r="B226" s="445" t="s">
        <v>256</v>
      </c>
      <c r="C226" s="446"/>
      <c r="D226" s="233">
        <v>400</v>
      </c>
    </row>
    <row r="227" spans="2:4" ht="12.75">
      <c r="B227" s="445" t="s">
        <v>257</v>
      </c>
      <c r="C227" s="446"/>
      <c r="D227" s="102">
        <f>ROUND(D225*D226*POWER(3,0.5)/1000,2)</f>
        <v>34.64</v>
      </c>
    </row>
    <row r="228" spans="2:4" ht="12.75">
      <c r="B228" s="343" t="s">
        <v>258</v>
      </c>
      <c r="C228" s="343"/>
      <c r="D228" s="89">
        <f>ROUND(D227*D65,2)</f>
        <v>12463.47</v>
      </c>
    </row>
    <row r="229" spans="2:4" ht="12.75">
      <c r="B229" s="343" t="s">
        <v>204</v>
      </c>
      <c r="C229" s="343"/>
      <c r="D229" s="101">
        <f>E221*D228</f>
        <v>872.4429</v>
      </c>
    </row>
    <row r="230" ht="12.75">
      <c r="A230" s="256" t="s">
        <v>572</v>
      </c>
    </row>
    <row r="231" ht="12.75">
      <c r="A231" s="256"/>
    </row>
    <row r="232" spans="1:6" ht="21" customHeight="1">
      <c r="A232" s="256"/>
      <c r="D232" s="435" t="s">
        <v>583</v>
      </c>
      <c r="E232" s="435"/>
      <c r="F232" s="435"/>
    </row>
    <row r="233" spans="1:6" ht="21" customHeight="1">
      <c r="A233" s="256"/>
      <c r="D233" s="435"/>
      <c r="E233" s="435"/>
      <c r="F233" s="435"/>
    </row>
    <row r="235" spans="2:3" ht="12.75">
      <c r="B235" s="444" t="s">
        <v>85</v>
      </c>
      <c r="C235" s="444"/>
    </row>
    <row r="236" spans="2:4" ht="12.75">
      <c r="B236" s="445" t="s">
        <v>255</v>
      </c>
      <c r="C236" s="446"/>
      <c r="D236" s="233">
        <v>90</v>
      </c>
    </row>
    <row r="237" spans="2:4" ht="12.75">
      <c r="B237" s="445" t="s">
        <v>256</v>
      </c>
      <c r="C237" s="446"/>
      <c r="D237" s="233">
        <v>400</v>
      </c>
    </row>
    <row r="238" spans="2:4" ht="12.75">
      <c r="B238" s="445" t="s">
        <v>257</v>
      </c>
      <c r="C238" s="446"/>
      <c r="D238" s="102">
        <f>ROUND(D236*D237*POWER(3,0.5)/1000,2)</f>
        <v>62.35</v>
      </c>
    </row>
    <row r="239" spans="2:4" ht="12.75">
      <c r="B239" s="343" t="s">
        <v>258</v>
      </c>
      <c r="C239" s="343"/>
      <c r="D239" s="89">
        <f>ROUND(D238*D37,2)</f>
        <v>176469.21</v>
      </c>
    </row>
    <row r="240" spans="2:4" ht="12.75">
      <c r="B240" s="343" t="s">
        <v>204</v>
      </c>
      <c r="C240" s="343"/>
      <c r="D240" s="101">
        <f>E221*D239</f>
        <v>12352.844700000001</v>
      </c>
    </row>
    <row r="243" spans="2:3" ht="12.75">
      <c r="B243" s="444" t="s">
        <v>321</v>
      </c>
      <c r="C243" s="444"/>
    </row>
    <row r="244" spans="2:4" ht="12.75">
      <c r="B244" s="445" t="s">
        <v>255</v>
      </c>
      <c r="C244" s="446"/>
      <c r="D244" s="233">
        <v>220</v>
      </c>
    </row>
    <row r="245" spans="2:4" ht="12.75">
      <c r="B245" s="445" t="s">
        <v>256</v>
      </c>
      <c r="C245" s="446"/>
      <c r="D245" s="233">
        <v>400</v>
      </c>
    </row>
    <row r="246" spans="2:4" ht="12.75">
      <c r="B246" s="445" t="s">
        <v>257</v>
      </c>
      <c r="C246" s="446"/>
      <c r="D246" s="102">
        <f>ROUND(D244*D245*POWER(3,0.5)/1000,2)</f>
        <v>152.42</v>
      </c>
    </row>
    <row r="247" spans="2:6" ht="12.75">
      <c r="B247" s="343" t="s">
        <v>258</v>
      </c>
      <c r="C247" s="343"/>
      <c r="D247" s="89">
        <f>ROUND(D246*D82*1.3,2)</f>
        <v>88174.97</v>
      </c>
      <c r="E247" s="436" t="s">
        <v>531</v>
      </c>
      <c r="F247" s="437"/>
    </row>
    <row r="248" spans="2:6" ht="12.75">
      <c r="B248" s="343" t="s">
        <v>204</v>
      </c>
      <c r="C248" s="343"/>
      <c r="D248" s="101">
        <f>E221*D247</f>
        <v>6172.2479</v>
      </c>
      <c r="E248" s="436"/>
      <c r="F248" s="437"/>
    </row>
    <row r="249" spans="2:4" ht="12.75">
      <c r="B249" s="24"/>
      <c r="C249" s="24"/>
      <c r="D249" s="122"/>
    </row>
    <row r="250" spans="2:4" ht="12.75">
      <c r="B250" s="24"/>
      <c r="C250" s="24"/>
      <c r="D250" s="122"/>
    </row>
    <row r="251" spans="2:3" ht="12.75">
      <c r="B251" s="444" t="s">
        <v>416</v>
      </c>
      <c r="C251" s="444"/>
    </row>
    <row r="252" spans="2:4" ht="12.75">
      <c r="B252" s="445" t="s">
        <v>257</v>
      </c>
      <c r="C252" s="446"/>
      <c r="D252" s="102">
        <f>Insta!B20</f>
        <v>10</v>
      </c>
    </row>
    <row r="253" spans="2:4" ht="12.75">
      <c r="B253" s="343" t="s">
        <v>258</v>
      </c>
      <c r="C253" s="343"/>
      <c r="D253" s="89">
        <f>D252*Insta!B23*Insta!E20</f>
        <v>0</v>
      </c>
    </row>
    <row r="254" spans="2:4" ht="12.75">
      <c r="B254" s="343" t="s">
        <v>204</v>
      </c>
      <c r="C254" s="343"/>
      <c r="D254" s="101">
        <f>D253*E221</f>
        <v>0</v>
      </c>
    </row>
    <row r="255" spans="2:4" ht="12.75">
      <c r="B255" s="24"/>
      <c r="C255" s="24"/>
      <c r="D255" s="122"/>
    </row>
    <row r="256" spans="2:4" ht="12.75">
      <c r="B256" s="24"/>
      <c r="C256" s="24"/>
      <c r="D256" s="122"/>
    </row>
    <row r="257" spans="2:3" ht="12.75">
      <c r="B257" s="444" t="s">
        <v>430</v>
      </c>
      <c r="C257" s="444"/>
    </row>
    <row r="258" spans="2:4" ht="12.75">
      <c r="B258" s="445" t="s">
        <v>257</v>
      </c>
      <c r="C258" s="446"/>
      <c r="D258" s="102">
        <f>Insta!B63</f>
        <v>50</v>
      </c>
    </row>
    <row r="259" spans="2:4" ht="12.75">
      <c r="B259" s="343" t="s">
        <v>258</v>
      </c>
      <c r="C259" s="343"/>
      <c r="D259" s="89">
        <f>D258*Insta!B66*Insta!E63</f>
        <v>0</v>
      </c>
    </row>
    <row r="260" spans="2:4" ht="12.75">
      <c r="B260" s="343" t="s">
        <v>204</v>
      </c>
      <c r="C260" s="343"/>
      <c r="D260" s="125">
        <f>D259*E221</f>
        <v>0</v>
      </c>
    </row>
    <row r="261" spans="2:4" ht="12.75">
      <c r="B261" s="24"/>
      <c r="C261" s="24"/>
      <c r="D261" s="122"/>
    </row>
    <row r="262" spans="2:4" ht="13.5" thickBot="1">
      <c r="B262" s="24" t="s">
        <v>497</v>
      </c>
      <c r="C262" s="24"/>
      <c r="D262" s="122"/>
    </row>
    <row r="263" spans="2:4" ht="15.75" customHeight="1" thickBot="1">
      <c r="B263" s="448" t="s">
        <v>421</v>
      </c>
      <c r="C263" s="449"/>
      <c r="D263" s="124">
        <f>D253+D247+D239+D228</f>
        <v>277107.64999999997</v>
      </c>
    </row>
    <row r="264" ht="13.5" thickBot="1"/>
    <row r="265" spans="2:5" ht="20.25" customHeight="1" thickBot="1">
      <c r="B265" s="396" t="s">
        <v>262</v>
      </c>
      <c r="C265" s="397"/>
      <c r="D265" s="398"/>
      <c r="E265" s="135">
        <f>D263*E221</f>
        <v>19397.535499999998</v>
      </c>
    </row>
    <row r="266" spans="1:5" ht="15.75">
      <c r="A266" s="256" t="s">
        <v>572</v>
      </c>
      <c r="C266" s="63"/>
      <c r="D266" s="63"/>
      <c r="E266" s="62"/>
    </row>
    <row r="267" spans="3:6" ht="21" customHeight="1" thickBot="1">
      <c r="C267" s="63"/>
      <c r="D267" s="435" t="s">
        <v>583</v>
      </c>
      <c r="E267" s="435"/>
      <c r="F267" s="435"/>
    </row>
    <row r="268" spans="1:6" ht="21" customHeight="1" thickBot="1">
      <c r="A268" s="372" t="s">
        <v>343</v>
      </c>
      <c r="B268" s="414"/>
      <c r="C268" s="373"/>
      <c r="D268" s="435"/>
      <c r="E268" s="435"/>
      <c r="F268" s="435"/>
    </row>
    <row r="270" spans="2:3" ht="15.75">
      <c r="B270" s="64"/>
      <c r="C270" s="64"/>
    </row>
    <row r="271" ht="12.75">
      <c r="E271" s="11" t="s">
        <v>52</v>
      </c>
    </row>
    <row r="272" spans="3:6" ht="15">
      <c r="C272" s="443" t="s">
        <v>278</v>
      </c>
      <c r="D272" s="443"/>
      <c r="E272" s="231">
        <v>5</v>
      </c>
      <c r="F272" s="61"/>
    </row>
    <row r="273" spans="3:6" ht="15">
      <c r="C273" s="65"/>
      <c r="D273" s="10" t="s">
        <v>563</v>
      </c>
      <c r="E273" s="10" t="s">
        <v>564</v>
      </c>
      <c r="F273" s="61"/>
    </row>
    <row r="274" spans="3:6" ht="15">
      <c r="C274" s="65"/>
      <c r="D274" s="65"/>
      <c r="F274" s="61"/>
    </row>
    <row r="275" spans="2:6" ht="12.75">
      <c r="B275" s="444" t="s">
        <v>344</v>
      </c>
      <c r="C275" s="444"/>
      <c r="F275" s="61"/>
    </row>
    <row r="276" spans="2:6" ht="12.75">
      <c r="B276" s="343" t="s">
        <v>345</v>
      </c>
      <c r="C276" s="343"/>
      <c r="D276" s="208">
        <v>2</v>
      </c>
      <c r="E276" s="10" t="s">
        <v>224</v>
      </c>
      <c r="F276" s="61"/>
    </row>
    <row r="277" spans="2:6" ht="12.75">
      <c r="B277" s="431" t="s">
        <v>348</v>
      </c>
      <c r="C277" s="432"/>
      <c r="D277" s="208">
        <v>0.05</v>
      </c>
      <c r="F277" s="61"/>
    </row>
    <row r="278" spans="2:6" ht="12.75">
      <c r="B278" s="343" t="s">
        <v>347</v>
      </c>
      <c r="C278" s="343"/>
      <c r="D278" s="89">
        <f>Datos!F17*D277*D276</f>
        <v>16</v>
      </c>
      <c r="F278" s="61"/>
    </row>
    <row r="279" spans="2:6" ht="12.75">
      <c r="B279" s="343" t="s">
        <v>346</v>
      </c>
      <c r="C279" s="343"/>
      <c r="D279" s="208">
        <v>100</v>
      </c>
      <c r="F279" s="61"/>
    </row>
    <row r="280" spans="2:6" ht="12.75">
      <c r="B280" s="343" t="s">
        <v>279</v>
      </c>
      <c r="C280" s="343"/>
      <c r="D280" s="89">
        <f>D278*D279</f>
        <v>1600</v>
      </c>
      <c r="F280" s="61"/>
    </row>
    <row r="281" spans="2:6" ht="12.75">
      <c r="B281" s="343" t="s">
        <v>204</v>
      </c>
      <c r="C281" s="343"/>
      <c r="D281" s="101">
        <f>D280*E272</f>
        <v>8000</v>
      </c>
      <c r="F281" s="61"/>
    </row>
    <row r="282" ht="12.75">
      <c r="F282" s="61"/>
    </row>
    <row r="283" ht="12.75">
      <c r="F283" s="61"/>
    </row>
    <row r="284" spans="4:6" ht="12.75">
      <c r="D284" s="25"/>
      <c r="F284" s="61"/>
    </row>
    <row r="285" spans="2:3" ht="12.75">
      <c r="B285" s="444" t="s">
        <v>85</v>
      </c>
      <c r="C285" s="444"/>
    </row>
    <row r="286" spans="2:5" ht="14.25">
      <c r="B286" s="343" t="s">
        <v>88</v>
      </c>
      <c r="C286" s="343"/>
      <c r="D286" s="208">
        <v>2</v>
      </c>
      <c r="E286" s="10" t="s">
        <v>224</v>
      </c>
    </row>
    <row r="287" spans="2:4" ht="12.75">
      <c r="B287" s="431" t="s">
        <v>89</v>
      </c>
      <c r="C287" s="432"/>
      <c r="D287" s="89">
        <f>D37</f>
        <v>2830.3</v>
      </c>
    </row>
    <row r="288" spans="2:4" ht="12.75">
      <c r="B288" s="343" t="s">
        <v>279</v>
      </c>
      <c r="C288" s="343"/>
      <c r="D288" s="89">
        <f>D286*D287</f>
        <v>5660.6</v>
      </c>
    </row>
    <row r="289" spans="2:4" ht="12.75">
      <c r="B289" s="343" t="s">
        <v>204</v>
      </c>
      <c r="C289" s="343"/>
      <c r="D289" s="101">
        <f>D288*E272</f>
        <v>28303</v>
      </c>
    </row>
    <row r="292" spans="3:5" ht="18" customHeight="1">
      <c r="C292" s="380" t="s">
        <v>317</v>
      </c>
      <c r="D292" s="380"/>
      <c r="E292" s="89">
        <f>ROUND(D288/D36,2)</f>
        <v>0.25</v>
      </c>
    </row>
    <row r="296" spans="2:3" ht="12.75">
      <c r="B296" s="444" t="s">
        <v>83</v>
      </c>
      <c r="C296" s="444"/>
    </row>
    <row r="297" spans="2:5" ht="14.25">
      <c r="B297" s="343" t="s">
        <v>88</v>
      </c>
      <c r="C297" s="343"/>
      <c r="D297" s="208">
        <v>1.5</v>
      </c>
      <c r="E297" s="10" t="s">
        <v>224</v>
      </c>
    </row>
    <row r="298" spans="2:4" ht="12.75">
      <c r="B298" s="431" t="s">
        <v>89</v>
      </c>
      <c r="C298" s="432"/>
      <c r="D298" s="89">
        <f>D65</f>
        <v>359.8</v>
      </c>
    </row>
    <row r="299" spans="2:4" ht="12.75">
      <c r="B299" s="343" t="s">
        <v>279</v>
      </c>
      <c r="C299" s="343"/>
      <c r="D299" s="89">
        <f>D297*D298</f>
        <v>539.7</v>
      </c>
    </row>
    <row r="300" spans="2:4" ht="12.75">
      <c r="B300" s="343" t="s">
        <v>204</v>
      </c>
      <c r="C300" s="343"/>
      <c r="D300" s="101">
        <f>D299*E272</f>
        <v>2698.5</v>
      </c>
    </row>
    <row r="303" spans="3:5" ht="18" customHeight="1">
      <c r="C303" s="380" t="s">
        <v>317</v>
      </c>
      <c r="D303" s="380"/>
      <c r="E303" s="89">
        <f>ROUND(D299/D62,2)</f>
        <v>0.2</v>
      </c>
    </row>
    <row r="305" ht="13.5" thickBot="1"/>
    <row r="306" spans="2:4" ht="18" customHeight="1" thickBot="1">
      <c r="B306" s="448" t="s">
        <v>414</v>
      </c>
      <c r="C306" s="449"/>
      <c r="D306" s="124">
        <f>D299+D288+D280</f>
        <v>7800.3</v>
      </c>
    </row>
    <row r="307" ht="13.5" thickBot="1"/>
    <row r="308" spans="2:5" ht="20.25" customHeight="1" thickBot="1">
      <c r="B308" s="396" t="s">
        <v>277</v>
      </c>
      <c r="C308" s="397"/>
      <c r="D308" s="398"/>
      <c r="E308" s="135">
        <f>D306*E272</f>
        <v>39001.5</v>
      </c>
    </row>
    <row r="309" ht="12.75">
      <c r="A309" s="256" t="s">
        <v>572</v>
      </c>
    </row>
    <row r="310" spans="4:6" ht="21" customHeight="1" thickBot="1">
      <c r="D310" s="435" t="s">
        <v>583</v>
      </c>
      <c r="E310" s="435"/>
      <c r="F310" s="435"/>
    </row>
    <row r="311" spans="1:6" ht="21" customHeight="1" thickBot="1">
      <c r="A311" s="372" t="s">
        <v>354</v>
      </c>
      <c r="B311" s="414"/>
      <c r="C311" s="373"/>
      <c r="D311" s="435"/>
      <c r="E311" s="435"/>
      <c r="F311" s="435"/>
    </row>
    <row r="312" spans="4:5" ht="15.75">
      <c r="D312" s="63"/>
      <c r="E312" s="63"/>
    </row>
    <row r="313" ht="15.75">
      <c r="D313" s="63"/>
    </row>
    <row r="314" spans="2:4" ht="12.75">
      <c r="B314" s="343" t="s">
        <v>365</v>
      </c>
      <c r="C314" s="343"/>
      <c r="D314" s="229">
        <v>150</v>
      </c>
    </row>
    <row r="315" spans="2:4" ht="12.75">
      <c r="B315" s="343" t="s">
        <v>366</v>
      </c>
      <c r="C315" s="343"/>
      <c r="D315" s="89">
        <f>'M.O.'!B18</f>
        <v>9.3</v>
      </c>
    </row>
    <row r="316" spans="2:4" ht="12.75">
      <c r="B316" s="431" t="s">
        <v>367</v>
      </c>
      <c r="C316" s="432"/>
      <c r="D316" s="89">
        <f>ROUNDUP(D315*2,0)</f>
        <v>19</v>
      </c>
    </row>
    <row r="317" spans="2:4" ht="12.75">
      <c r="B317" s="431" t="s">
        <v>368</v>
      </c>
      <c r="C317" s="432"/>
      <c r="D317" s="98">
        <f>D314*D316</f>
        <v>2850</v>
      </c>
    </row>
    <row r="318" spans="2:4" ht="12.75">
      <c r="B318" s="343" t="s">
        <v>369</v>
      </c>
      <c r="C318" s="343"/>
      <c r="D318" s="98">
        <f>D317*2</f>
        <v>5700</v>
      </c>
    </row>
    <row r="319" spans="2:4" ht="12.75">
      <c r="B319" s="343" t="s">
        <v>370</v>
      </c>
      <c r="C319" s="343"/>
      <c r="D319" s="98">
        <f>2*60*D315</f>
        <v>1116</v>
      </c>
    </row>
    <row r="320" spans="2:5" ht="12.75">
      <c r="B320" s="343" t="s">
        <v>372</v>
      </c>
      <c r="C320" s="343"/>
      <c r="D320" s="229">
        <v>100</v>
      </c>
      <c r="E320" s="10" t="s">
        <v>224</v>
      </c>
    </row>
    <row r="321" spans="2:4" ht="12.75">
      <c r="B321" s="343" t="s">
        <v>371</v>
      </c>
      <c r="C321" s="343"/>
      <c r="D321" s="98">
        <f>D315*D320</f>
        <v>930.0000000000001</v>
      </c>
    </row>
    <row r="322" ht="13.5" thickBot="1"/>
    <row r="323" spans="2:5" ht="16.5" thickBot="1">
      <c r="B323" s="396" t="s">
        <v>355</v>
      </c>
      <c r="C323" s="397"/>
      <c r="D323" s="398"/>
      <c r="E323" s="135">
        <f>D317+D318+D319+D321</f>
        <v>10596</v>
      </c>
    </row>
    <row r="325" ht="16.5" thickBot="1">
      <c r="E325" s="63"/>
    </row>
    <row r="326" spans="1:5" ht="20.25" customHeight="1" thickBot="1">
      <c r="A326" s="372" t="s">
        <v>356</v>
      </c>
      <c r="B326" s="414"/>
      <c r="C326" s="373"/>
      <c r="D326" s="63"/>
      <c r="E326" s="63"/>
    </row>
    <row r="327" spans="4:5" ht="15.75">
      <c r="D327" s="63"/>
      <c r="E327" s="63"/>
    </row>
    <row r="328" ht="15.75">
      <c r="D328" s="63"/>
    </row>
    <row r="329" spans="2:4" ht="12.75">
      <c r="B329" s="343" t="s">
        <v>375</v>
      </c>
      <c r="C329" s="343"/>
      <c r="D329" s="208">
        <v>20</v>
      </c>
    </row>
    <row r="330" spans="2:4" ht="12.75">
      <c r="B330" s="343" t="s">
        <v>374</v>
      </c>
      <c r="C330" s="343"/>
      <c r="D330" s="89">
        <f>Datos!C14</f>
        <v>6000</v>
      </c>
    </row>
    <row r="331" spans="2:4" ht="12.75">
      <c r="B331" s="431" t="s">
        <v>373</v>
      </c>
      <c r="C331" s="432"/>
      <c r="D331" s="98">
        <f>D329*D330</f>
        <v>120000</v>
      </c>
    </row>
    <row r="332" spans="2:4" ht="12.75">
      <c r="B332" s="24"/>
      <c r="C332" s="24"/>
      <c r="D332" s="70"/>
    </row>
    <row r="334" ht="13.5" thickBot="1"/>
    <row r="335" spans="2:5" ht="16.5" thickBot="1">
      <c r="B335" s="396" t="s">
        <v>357</v>
      </c>
      <c r="C335" s="397"/>
      <c r="D335" s="398"/>
      <c r="E335" s="135">
        <f>D331</f>
        <v>120000</v>
      </c>
    </row>
    <row r="338" ht="12.75">
      <c r="A338" s="256" t="s">
        <v>572</v>
      </c>
    </row>
  </sheetData>
  <sheetProtection password="F5C7" sheet="1" objects="1" scenarios="1" selectLockedCells="1"/>
  <mergeCells count="204">
    <mergeCell ref="B306:C306"/>
    <mergeCell ref="B251:C251"/>
    <mergeCell ref="B252:C252"/>
    <mergeCell ref="B253:C253"/>
    <mergeCell ref="B254:C254"/>
    <mergeCell ref="B263:C263"/>
    <mergeCell ref="B257:C257"/>
    <mergeCell ref="C292:D292"/>
    <mergeCell ref="B287:C287"/>
    <mergeCell ref="B280:C280"/>
    <mergeCell ref="B275:C275"/>
    <mergeCell ref="B281:C281"/>
    <mergeCell ref="B18:C18"/>
    <mergeCell ref="B19:C19"/>
    <mergeCell ref="B260:C260"/>
    <mergeCell ref="B258:C258"/>
    <mergeCell ref="B162:C162"/>
    <mergeCell ref="B133:C133"/>
    <mergeCell ref="B130:C130"/>
    <mergeCell ref="B148:C148"/>
    <mergeCell ref="B17:C17"/>
    <mergeCell ref="B13:C13"/>
    <mergeCell ref="A25:C25"/>
    <mergeCell ref="B9:C9"/>
    <mergeCell ref="B10:C10"/>
    <mergeCell ref="B11:C11"/>
    <mergeCell ref="B12:C12"/>
    <mergeCell ref="B285:C285"/>
    <mergeCell ref="B315:C315"/>
    <mergeCell ref="B14:C14"/>
    <mergeCell ref="B15:C15"/>
    <mergeCell ref="B16:C16"/>
    <mergeCell ref="B135:C135"/>
    <mergeCell ref="B60:C60"/>
    <mergeCell ref="B28:C28"/>
    <mergeCell ref="B41:D41"/>
    <mergeCell ref="B27:C27"/>
    <mergeCell ref="B243:C243"/>
    <mergeCell ref="B244:C244"/>
    <mergeCell ref="A311:C311"/>
    <mergeCell ref="B314:C314"/>
    <mergeCell ref="B308:D308"/>
    <mergeCell ref="B265:D265"/>
    <mergeCell ref="B278:C278"/>
    <mergeCell ref="B279:C279"/>
    <mergeCell ref="B276:C276"/>
    <mergeCell ref="B277:C277"/>
    <mergeCell ref="B85:C85"/>
    <mergeCell ref="B174:D174"/>
    <mergeCell ref="B259:C259"/>
    <mergeCell ref="B238:C238"/>
    <mergeCell ref="B239:C239"/>
    <mergeCell ref="B237:C237"/>
    <mergeCell ref="B240:C240"/>
    <mergeCell ref="B247:C247"/>
    <mergeCell ref="B245:C245"/>
    <mergeCell ref="B246:C246"/>
    <mergeCell ref="B86:C86"/>
    <mergeCell ref="B176:C176"/>
    <mergeCell ref="C92:D92"/>
    <mergeCell ref="A123:C123"/>
    <mergeCell ref="B102:C102"/>
    <mergeCell ref="B103:C103"/>
    <mergeCell ref="B87:C87"/>
    <mergeCell ref="B134:C134"/>
    <mergeCell ref="A145:C145"/>
    <mergeCell ref="B140:D140"/>
    <mergeCell ref="A74:C74"/>
    <mergeCell ref="B84:C84"/>
    <mergeCell ref="B81:C81"/>
    <mergeCell ref="B80:C80"/>
    <mergeCell ref="B83:C83"/>
    <mergeCell ref="B82:C82"/>
    <mergeCell ref="B79:C79"/>
    <mergeCell ref="B78:C78"/>
    <mergeCell ref="B70:D70"/>
    <mergeCell ref="B52:C52"/>
    <mergeCell ref="B54:C54"/>
    <mergeCell ref="B59:C59"/>
    <mergeCell ref="C68:D68"/>
    <mergeCell ref="B63:C63"/>
    <mergeCell ref="B55:C55"/>
    <mergeCell ref="B64:C64"/>
    <mergeCell ref="B65:C65"/>
    <mergeCell ref="B61:C61"/>
    <mergeCell ref="B31:C31"/>
    <mergeCell ref="B29:C29"/>
    <mergeCell ref="B36:C36"/>
    <mergeCell ref="B32:C32"/>
    <mergeCell ref="B30:C30"/>
    <mergeCell ref="B33:C33"/>
    <mergeCell ref="B35:C35"/>
    <mergeCell ref="B34:C34"/>
    <mergeCell ref="B160:D160"/>
    <mergeCell ref="B172:D172"/>
    <mergeCell ref="B164:D164"/>
    <mergeCell ref="B173:D173"/>
    <mergeCell ref="B165:D165"/>
    <mergeCell ref="B166:D166"/>
    <mergeCell ref="B167:D167"/>
    <mergeCell ref="B170:C170"/>
    <mergeCell ref="B163:D163"/>
    <mergeCell ref="B171:D171"/>
    <mergeCell ref="B100:C100"/>
    <mergeCell ref="B101:C101"/>
    <mergeCell ref="A97:C97"/>
    <mergeCell ref="B116:C116"/>
    <mergeCell ref="B114:C114"/>
    <mergeCell ref="B115:C115"/>
    <mergeCell ref="B104:C104"/>
    <mergeCell ref="B105:C105"/>
    <mergeCell ref="B108:D108"/>
    <mergeCell ref="A111:C111"/>
    <mergeCell ref="C39:D39"/>
    <mergeCell ref="C45:D45"/>
    <mergeCell ref="A47:C47"/>
    <mergeCell ref="B50:C50"/>
    <mergeCell ref="B51:C51"/>
    <mergeCell ref="B57:C57"/>
    <mergeCell ref="B56:C56"/>
    <mergeCell ref="B58:C58"/>
    <mergeCell ref="B193:C193"/>
    <mergeCell ref="B211:C211"/>
    <mergeCell ref="B218:C218"/>
    <mergeCell ref="B210:C210"/>
    <mergeCell ref="B194:C194"/>
    <mergeCell ref="B206:C206"/>
    <mergeCell ref="B195:C195"/>
    <mergeCell ref="B196:C196"/>
    <mergeCell ref="B199:C199"/>
    <mergeCell ref="B201:C201"/>
    <mergeCell ref="B182:C182"/>
    <mergeCell ref="B185:C185"/>
    <mergeCell ref="B192:C192"/>
    <mergeCell ref="B183:C183"/>
    <mergeCell ref="B179:D179"/>
    <mergeCell ref="B180:D180"/>
    <mergeCell ref="B177:D177"/>
    <mergeCell ref="B178:D178"/>
    <mergeCell ref="B158:D158"/>
    <mergeCell ref="B159:D159"/>
    <mergeCell ref="B126:C126"/>
    <mergeCell ref="B120:D120"/>
    <mergeCell ref="B157:D157"/>
    <mergeCell ref="B152:C152"/>
    <mergeCell ref="B156:D156"/>
    <mergeCell ref="B155:C155"/>
    <mergeCell ref="B236:C236"/>
    <mergeCell ref="B224:C224"/>
    <mergeCell ref="B209:C209"/>
    <mergeCell ref="B214:D214"/>
    <mergeCell ref="B229:C229"/>
    <mergeCell ref="B227:C227"/>
    <mergeCell ref="C221:D221"/>
    <mergeCell ref="B226:C226"/>
    <mergeCell ref="B225:C225"/>
    <mergeCell ref="B235:C235"/>
    <mergeCell ref="B205:C205"/>
    <mergeCell ref="B200:C200"/>
    <mergeCell ref="B228:C228"/>
    <mergeCell ref="B204:C204"/>
    <mergeCell ref="B289:C289"/>
    <mergeCell ref="B300:C300"/>
    <mergeCell ref="B286:C286"/>
    <mergeCell ref="C303:D303"/>
    <mergeCell ref="B296:C296"/>
    <mergeCell ref="B297:C297"/>
    <mergeCell ref="B298:C298"/>
    <mergeCell ref="B299:C299"/>
    <mergeCell ref="A268:C268"/>
    <mergeCell ref="B331:C331"/>
    <mergeCell ref="B317:C317"/>
    <mergeCell ref="B323:D323"/>
    <mergeCell ref="A326:C326"/>
    <mergeCell ref="B319:C319"/>
    <mergeCell ref="B321:C321"/>
    <mergeCell ref="B320:C320"/>
    <mergeCell ref="B318:C318"/>
    <mergeCell ref="C272:D272"/>
    <mergeCell ref="B335:D335"/>
    <mergeCell ref="B128:C128"/>
    <mergeCell ref="B129:C129"/>
    <mergeCell ref="B132:C132"/>
    <mergeCell ref="B131:C131"/>
    <mergeCell ref="B329:C329"/>
    <mergeCell ref="B330:C330"/>
    <mergeCell ref="B316:C316"/>
    <mergeCell ref="B248:C248"/>
    <mergeCell ref="B288:C288"/>
    <mergeCell ref="D3:F4"/>
    <mergeCell ref="D46:F47"/>
    <mergeCell ref="D97:F98"/>
    <mergeCell ref="D144:F145"/>
    <mergeCell ref="E61:F63"/>
    <mergeCell ref="B94:D94"/>
    <mergeCell ref="B127:C127"/>
    <mergeCell ref="B117:C117"/>
    <mergeCell ref="B37:C37"/>
    <mergeCell ref="B62:C62"/>
    <mergeCell ref="D185:F186"/>
    <mergeCell ref="D232:F233"/>
    <mergeCell ref="D267:F268"/>
    <mergeCell ref="D310:F311"/>
    <mergeCell ref="E247:F248"/>
  </mergeCells>
  <printOptions/>
  <pageMargins left="0.75" right="0.52" top="1" bottom="1" header="0" footer="0"/>
  <pageSetup firstPageNumber="15" useFirstPageNumber="1" horizontalDpi="600" verticalDpi="600" orientation="portrait" paperSize="9" scale="85" r:id="rId2"/>
  <headerFooter alignWithMargins="0">
    <oddHeader>&amp;RMODELO ECONÓMICO MÁRMOL  &amp;P</oddHeader>
  </headerFooter>
  <rowBreaks count="7" manualBreakCount="7">
    <brk id="44" max="5" man="1"/>
    <brk id="96" max="255" man="1"/>
    <brk id="142" max="255" man="1"/>
    <brk id="184" max="255" man="1"/>
    <brk id="230" max="5" man="1"/>
    <brk id="266" max="255" man="1"/>
    <brk id="3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UPCT</dc:creator>
  <cp:keywords/>
  <dc:description/>
  <cp:lastModifiedBy>emilio trigueros</cp:lastModifiedBy>
  <cp:lastPrinted>2006-01-26T16:02:30Z</cp:lastPrinted>
  <dcterms:created xsi:type="dcterms:W3CDTF">2004-10-25T08:24:48Z</dcterms:created>
  <dcterms:modified xsi:type="dcterms:W3CDTF">2006-01-26T16:04:45Z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